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IF19\Desktop\Recursos Materiales\Ejercicio 2022\"/>
    </mc:Choice>
  </mc:AlternateContent>
  <bookViews>
    <workbookView xWindow="0" yWindow="0" windowWidth="28800" windowHeight="11835" activeTab="1"/>
  </bookViews>
  <sheets>
    <sheet name="2022 INCIAL" sheetId="1" r:id="rId1"/>
    <sheet name="2022 Mod 30 sep " sheetId="3" r:id="rId2"/>
    <sheet name="Hoja1" sheetId="2" r:id="rId3"/>
  </sheets>
  <definedNames>
    <definedName name="_xlnm.Print_Titles" localSheetId="0">'2022 INCIAL'!$1:$3</definedName>
    <definedName name="_xlnm.Print_Titles" localSheetId="1">'2022 Mod 30 sep 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3" i="3" l="1"/>
  <c r="F213" i="3"/>
  <c r="E1103" i="3" l="1"/>
  <c r="F781" i="3" l="1"/>
  <c r="E781" i="3"/>
  <c r="F780" i="3"/>
  <c r="E780" i="3"/>
  <c r="F779" i="3"/>
  <c r="E779" i="3"/>
  <c r="F778" i="3"/>
  <c r="E778" i="3"/>
  <c r="F1096" i="3"/>
  <c r="E1096" i="3"/>
  <c r="F855" i="3"/>
  <c r="E855" i="3"/>
  <c r="F854" i="3"/>
  <c r="E854" i="3"/>
  <c r="F853" i="3"/>
  <c r="E853" i="3"/>
  <c r="F852" i="3"/>
  <c r="E852" i="3"/>
  <c r="F851" i="3"/>
  <c r="E851" i="3"/>
  <c r="F682" i="3"/>
  <c r="E682" i="3"/>
  <c r="F681" i="3"/>
  <c r="E681" i="3"/>
  <c r="F680" i="3"/>
  <c r="E680" i="3"/>
  <c r="F679" i="3"/>
  <c r="E679" i="3"/>
  <c r="F678" i="3"/>
  <c r="E678" i="3"/>
  <c r="F677" i="3"/>
  <c r="E677" i="3"/>
  <c r="F676" i="3"/>
  <c r="E676" i="3"/>
  <c r="F730" i="3"/>
  <c r="F729" i="3"/>
  <c r="F280" i="3"/>
  <c r="F219" i="3"/>
  <c r="E219" i="3"/>
  <c r="I211" i="3"/>
  <c r="H211" i="3"/>
  <c r="J211" i="3"/>
  <c r="F212" i="3"/>
  <c r="E212" i="3"/>
  <c r="E211" i="3"/>
  <c r="F210" i="3"/>
  <c r="E210" i="3"/>
  <c r="F209" i="3"/>
  <c r="E209" i="3"/>
  <c r="F151" i="3"/>
  <c r="E151" i="3"/>
  <c r="F270" i="3"/>
  <c r="E270" i="3"/>
  <c r="F269" i="3"/>
  <c r="E269" i="3"/>
  <c r="F268" i="3"/>
  <c r="E268" i="3"/>
  <c r="F267" i="3"/>
  <c r="E267" i="3"/>
  <c r="F266" i="3"/>
  <c r="E266" i="3"/>
  <c r="F265" i="3"/>
  <c r="E265" i="3"/>
  <c r="F264" i="3"/>
  <c r="E264" i="3"/>
  <c r="F263" i="3"/>
  <c r="E263" i="3"/>
  <c r="F262" i="3"/>
  <c r="E262" i="3"/>
  <c r="F261" i="3"/>
  <c r="E261" i="3"/>
  <c r="F260" i="3"/>
  <c r="E260" i="3"/>
  <c r="F259" i="3"/>
  <c r="E259" i="3"/>
  <c r="F258" i="3"/>
  <c r="E258" i="3"/>
  <c r="F257" i="3"/>
  <c r="E257" i="3"/>
  <c r="F256" i="3"/>
  <c r="E256" i="3"/>
  <c r="F255" i="3"/>
  <c r="E255" i="3"/>
  <c r="F139" i="3"/>
  <c r="E139" i="3"/>
  <c r="N138" i="3"/>
  <c r="F211" i="3" l="1"/>
  <c r="T211" i="3" s="1"/>
  <c r="F201" i="3"/>
  <c r="E201" i="3"/>
  <c r="J200" i="3"/>
  <c r="H200" i="3"/>
  <c r="K198" i="3"/>
  <c r="N197" i="3"/>
  <c r="L197" i="3"/>
  <c r="F196" i="3"/>
  <c r="E196" i="3"/>
  <c r="N195" i="3"/>
  <c r="F195" i="3" s="1"/>
  <c r="E195" i="3"/>
  <c r="L194" i="3"/>
  <c r="K194" i="3"/>
  <c r="J193" i="3"/>
  <c r="I193" i="3"/>
  <c r="E193" i="3"/>
  <c r="L192" i="3"/>
  <c r="F191" i="3"/>
  <c r="E191" i="3"/>
  <c r="L190" i="3"/>
  <c r="N190" i="3"/>
  <c r="I190" i="3"/>
  <c r="J187" i="3"/>
  <c r="N187" i="3"/>
  <c r="K187" i="3"/>
  <c r="N186" i="3"/>
  <c r="M186" i="3"/>
  <c r="O186" i="3"/>
  <c r="K186" i="3"/>
  <c r="L184" i="3"/>
  <c r="K184" i="3"/>
  <c r="N184" i="3"/>
  <c r="M184" i="3"/>
  <c r="F183" i="3"/>
  <c r="E183" i="3"/>
  <c r="L182" i="3"/>
  <c r="I177" i="3"/>
  <c r="H177" i="3"/>
  <c r="F176" i="3"/>
  <c r="E176" i="3"/>
  <c r="N175" i="3"/>
  <c r="L175" i="3"/>
  <c r="J175" i="3"/>
  <c r="I175" i="3"/>
  <c r="N174" i="3"/>
  <c r="G174" i="3"/>
  <c r="I173" i="3"/>
  <c r="J173" i="3"/>
  <c r="K171" i="3"/>
  <c r="N171" i="3"/>
  <c r="M171" i="3"/>
  <c r="L171" i="3"/>
  <c r="J171" i="3"/>
  <c r="I171" i="3"/>
  <c r="F167" i="3"/>
  <c r="E167" i="3"/>
  <c r="F166" i="3"/>
  <c r="E166" i="3"/>
  <c r="F168" i="3"/>
  <c r="E168" i="3"/>
  <c r="F165" i="3"/>
  <c r="E165" i="3"/>
  <c r="F164" i="3"/>
  <c r="E164" i="3"/>
  <c r="F163" i="3"/>
  <c r="E163" i="3"/>
  <c r="F162" i="3"/>
  <c r="E162" i="3"/>
  <c r="F848" i="3"/>
  <c r="I840" i="3"/>
  <c r="O834" i="3"/>
  <c r="F834" i="3" s="1"/>
  <c r="L829" i="3"/>
  <c r="F829" i="3" s="1"/>
  <c r="J827" i="3"/>
  <c r="K827" i="3"/>
  <c r="F836" i="3"/>
  <c r="E836" i="3"/>
  <c r="F835" i="3"/>
  <c r="E835" i="3"/>
  <c r="F833" i="3"/>
  <c r="F832" i="3"/>
  <c r="E832" i="3"/>
  <c r="F831" i="3"/>
  <c r="E831" i="3"/>
  <c r="F830" i="3"/>
  <c r="E830" i="3"/>
  <c r="E829" i="3"/>
  <c r="F828" i="3"/>
  <c r="E828" i="3"/>
  <c r="E827" i="3"/>
  <c r="L824" i="3"/>
  <c r="K824" i="3"/>
  <c r="F825" i="3"/>
  <c r="E825" i="3"/>
  <c r="L819" i="3"/>
  <c r="J820" i="3"/>
  <c r="K819" i="3"/>
  <c r="K904" i="3"/>
  <c r="F904" i="3" s="1"/>
  <c r="K906" i="3"/>
  <c r="F906" i="3" s="1"/>
  <c r="M902" i="3"/>
  <c r="F902" i="3" s="1"/>
  <c r="F908" i="3"/>
  <c r="E908" i="3"/>
  <c r="F907" i="3"/>
  <c r="E907" i="3"/>
  <c r="E906" i="3"/>
  <c r="F905" i="3"/>
  <c r="E905" i="3"/>
  <c r="E904" i="3"/>
  <c r="F903" i="3"/>
  <c r="E903" i="3"/>
  <c r="E902" i="3"/>
  <c r="F901" i="3"/>
  <c r="E901" i="3"/>
  <c r="K900" i="3"/>
  <c r="K896" i="3"/>
  <c r="F896" i="3" s="1"/>
  <c r="K898" i="3"/>
  <c r="F897" i="3"/>
  <c r="E897" i="3"/>
  <c r="E896" i="3"/>
  <c r="F827" i="3" l="1"/>
  <c r="F193" i="3"/>
  <c r="K1117" i="3"/>
  <c r="J1116" i="3"/>
  <c r="F1116" i="3" s="1"/>
  <c r="E1116" i="3"/>
  <c r="K1114" i="3"/>
  <c r="K1113" i="3"/>
  <c r="K1111" i="3"/>
  <c r="F1110" i="3"/>
  <c r="E1110" i="3"/>
  <c r="E1106" i="3"/>
  <c r="L1106" i="3"/>
  <c r="F1106" i="3" s="1"/>
  <c r="F1078" i="3"/>
  <c r="E1078" i="3"/>
  <c r="F1077" i="3"/>
  <c r="E1077" i="3"/>
  <c r="F1076" i="3"/>
  <c r="E1076" i="3"/>
  <c r="F1075" i="3"/>
  <c r="E1075" i="3"/>
  <c r="F1074" i="3"/>
  <c r="E1074" i="3"/>
  <c r="F1073" i="3"/>
  <c r="E1073" i="3"/>
  <c r="F1072" i="3"/>
  <c r="E1072" i="3"/>
  <c r="F1071" i="3"/>
  <c r="E1071" i="3"/>
  <c r="F1070" i="3"/>
  <c r="E1070" i="3"/>
  <c r="F1069" i="3"/>
  <c r="E1069" i="3"/>
  <c r="F1068" i="3"/>
  <c r="E1068" i="3"/>
  <c r="F1067" i="3"/>
  <c r="E1067" i="3"/>
  <c r="F1066" i="3"/>
  <c r="E1066" i="3"/>
  <c r="F1065" i="3"/>
  <c r="E1065" i="3"/>
  <c r="F1064" i="3"/>
  <c r="E1064" i="3"/>
  <c r="F1063" i="3"/>
  <c r="E1063" i="3"/>
  <c r="F1062" i="3"/>
  <c r="E1062" i="3"/>
  <c r="F1061" i="3"/>
  <c r="E1061" i="3"/>
  <c r="F1060" i="3"/>
  <c r="B1060" i="3" s="1"/>
  <c r="O1057" i="3"/>
  <c r="K1057" i="3"/>
  <c r="N1049" i="3"/>
  <c r="K1048" i="3"/>
  <c r="F768" i="3"/>
  <c r="E768" i="3"/>
  <c r="F767" i="3"/>
  <c r="E767" i="3"/>
  <c r="F766" i="3"/>
  <c r="E766" i="3"/>
  <c r="F765" i="3"/>
  <c r="E765" i="3"/>
  <c r="F764" i="3"/>
  <c r="E764" i="3"/>
  <c r="F763" i="3"/>
  <c r="E763" i="3"/>
  <c r="F762" i="3"/>
  <c r="E762" i="3"/>
  <c r="F761" i="3"/>
  <c r="E761" i="3"/>
  <c r="F760" i="3"/>
  <c r="E760" i="3"/>
  <c r="F759" i="3"/>
  <c r="E759" i="3"/>
  <c r="F758" i="3"/>
  <c r="E758" i="3"/>
  <c r="F757" i="3"/>
  <c r="E757" i="3"/>
  <c r="F756" i="3"/>
  <c r="F736" i="3" s="1"/>
  <c r="E756" i="3"/>
  <c r="F755" i="3"/>
  <c r="E755" i="3"/>
  <c r="F754" i="3"/>
  <c r="E754" i="3"/>
  <c r="F753" i="3"/>
  <c r="E753" i="3"/>
  <c r="F752" i="3"/>
  <c r="E752" i="3"/>
  <c r="F751" i="3"/>
  <c r="E751" i="3"/>
  <c r="F750" i="3"/>
  <c r="E750" i="3"/>
  <c r="F749" i="3"/>
  <c r="E749" i="3"/>
  <c r="F748" i="3"/>
  <c r="E748" i="3"/>
  <c r="F747" i="3"/>
  <c r="E747" i="3"/>
  <c r="F746" i="3"/>
  <c r="E746" i="3"/>
  <c r="F745" i="3"/>
  <c r="E745" i="3"/>
  <c r="F744" i="3"/>
  <c r="E744" i="3"/>
  <c r="E743" i="3"/>
  <c r="F742" i="3"/>
  <c r="E742" i="3"/>
  <c r="L743" i="3"/>
  <c r="F743" i="3" s="1"/>
  <c r="F1031" i="3"/>
  <c r="E1031" i="3"/>
  <c r="F1028" i="3"/>
  <c r="E1028" i="3"/>
  <c r="F1025" i="3"/>
  <c r="E1025" i="3"/>
  <c r="F1021" i="3"/>
  <c r="E1021" i="3"/>
  <c r="K1030" i="3"/>
  <c r="K1029" i="3"/>
  <c r="L1023" i="3"/>
  <c r="L1022" i="3"/>
  <c r="K1020" i="3"/>
  <c r="L1013" i="3"/>
  <c r="F984" i="3"/>
  <c r="E984" i="3"/>
  <c r="F983" i="3"/>
  <c r="E983" i="3"/>
  <c r="F982" i="3"/>
  <c r="E982" i="3"/>
  <c r="F981" i="3"/>
  <c r="E981" i="3"/>
  <c r="F989" i="3"/>
  <c r="E989" i="3"/>
  <c r="F979" i="3"/>
  <c r="E979" i="3"/>
  <c r="M974" i="3"/>
  <c r="L974" i="3"/>
  <c r="E974" i="3"/>
  <c r="K969" i="3"/>
  <c r="B925" i="3"/>
  <c r="F950" i="3"/>
  <c r="E950" i="3"/>
  <c r="F949" i="3"/>
  <c r="E949" i="3"/>
  <c r="F948" i="3"/>
  <c r="E948" i="3"/>
  <c r="F943" i="3"/>
  <c r="E943" i="3"/>
  <c r="F940" i="3"/>
  <c r="E940" i="3"/>
  <c r="F939" i="3"/>
  <c r="E939" i="3"/>
  <c r="F936" i="3"/>
  <c r="E936" i="3"/>
  <c r="F934" i="3"/>
  <c r="E934" i="3"/>
  <c r="F933" i="3"/>
  <c r="E933" i="3"/>
  <c r="K929" i="3"/>
  <c r="K927" i="3"/>
  <c r="K926" i="3"/>
  <c r="M519" i="3"/>
  <c r="K517" i="3"/>
  <c r="F498" i="3"/>
  <c r="E498" i="3"/>
  <c r="F497" i="3"/>
  <c r="E497" i="3"/>
  <c r="K492" i="3"/>
  <c r="F483" i="3"/>
  <c r="E483" i="3"/>
  <c r="F482" i="3"/>
  <c r="E482" i="3"/>
  <c r="F481" i="3"/>
  <c r="E481" i="3"/>
  <c r="F480" i="3"/>
  <c r="E480" i="3"/>
  <c r="F479" i="3"/>
  <c r="E479" i="3"/>
  <c r="F478" i="3"/>
  <c r="E478" i="3"/>
  <c r="F477" i="3"/>
  <c r="E477" i="3"/>
  <c r="F460" i="3"/>
  <c r="E460" i="3"/>
  <c r="K459" i="3"/>
  <c r="K457" i="3"/>
  <c r="F456" i="3"/>
  <c r="E456" i="3"/>
  <c r="F455" i="3"/>
  <c r="E455" i="3"/>
  <c r="F371" i="3"/>
  <c r="F424" i="3"/>
  <c r="F438" i="3"/>
  <c r="E438" i="3"/>
  <c r="F437" i="3"/>
  <c r="E437" i="3"/>
  <c r="F436" i="3"/>
  <c r="E436" i="3"/>
  <c r="L413" i="3"/>
  <c r="F413" i="3" s="1"/>
  <c r="F414" i="3"/>
  <c r="E414" i="3"/>
  <c r="E413" i="3"/>
  <c r="F412" i="3"/>
  <c r="E412" i="3"/>
  <c r="F411" i="3"/>
  <c r="E411" i="3"/>
  <c r="N408" i="3"/>
  <c r="F409" i="3"/>
  <c r="E409" i="3"/>
  <c r="F407" i="3"/>
  <c r="E407" i="3"/>
  <c r="K405" i="3"/>
  <c r="F974" i="3" l="1"/>
  <c r="K385" i="3"/>
  <c r="F384" i="3"/>
  <c r="E384" i="3"/>
  <c r="F360" i="3" l="1"/>
  <c r="E360" i="3"/>
  <c r="F358" i="3"/>
  <c r="E358" i="3"/>
  <c r="F884" i="3"/>
  <c r="F883" i="3"/>
  <c r="F882" i="3"/>
  <c r="F881" i="3"/>
  <c r="E883" i="3"/>
  <c r="E882" i="3"/>
  <c r="F657" i="3"/>
  <c r="E657" i="3"/>
  <c r="J655" i="3"/>
  <c r="F645" i="3"/>
  <c r="E645" i="3"/>
  <c r="F643" i="3"/>
  <c r="E643" i="3"/>
  <c r="L642" i="3"/>
  <c r="F641" i="3"/>
  <c r="E641" i="3"/>
  <c r="B710" i="3"/>
  <c r="B708" i="3"/>
  <c r="B707" i="3"/>
  <c r="B706" i="3"/>
  <c r="B689" i="3"/>
  <c r="E705" i="3"/>
  <c r="K718" i="3"/>
  <c r="K715" i="3"/>
  <c r="K714" i="3"/>
  <c r="F714" i="3" s="1"/>
  <c r="E714" i="3"/>
  <c r="K711" i="3"/>
  <c r="F709" i="3"/>
  <c r="E709" i="3"/>
  <c r="O706" i="3"/>
  <c r="L706" i="3"/>
  <c r="F705" i="3"/>
  <c r="K704" i="3"/>
  <c r="K703" i="3"/>
  <c r="F695" i="3"/>
  <c r="E695" i="3"/>
  <c r="K691" i="3"/>
  <c r="K689" i="3"/>
  <c r="K688" i="3"/>
  <c r="E493" i="3"/>
  <c r="F493" i="3"/>
  <c r="E593" i="3"/>
  <c r="F593" i="3"/>
  <c r="F290" i="3" l="1"/>
  <c r="F289" i="3"/>
  <c r="F288" i="3"/>
  <c r="F287" i="3"/>
  <c r="F271" i="3"/>
  <c r="F254" i="3"/>
  <c r="F238" i="3"/>
  <c r="F237" i="3"/>
  <c r="F236" i="3"/>
  <c r="F235" i="3"/>
  <c r="F227" i="3"/>
  <c r="F226" i="3"/>
  <c r="F225" i="3"/>
  <c r="F224" i="3"/>
  <c r="F223" i="3"/>
  <c r="F222" i="3"/>
  <c r="F221" i="3"/>
  <c r="F220" i="3"/>
  <c r="F218" i="3"/>
  <c r="F217" i="3"/>
  <c r="F216" i="3"/>
  <c r="F202" i="3"/>
  <c r="F200" i="3"/>
  <c r="F199" i="3"/>
  <c r="F198" i="3"/>
  <c r="F197" i="3"/>
  <c r="F194" i="3"/>
  <c r="F192" i="3"/>
  <c r="F190" i="3"/>
  <c r="F189" i="3"/>
  <c r="F188" i="3"/>
  <c r="F187" i="3"/>
  <c r="F186" i="3"/>
  <c r="F185" i="3"/>
  <c r="F184" i="3"/>
  <c r="F182" i="3"/>
  <c r="F181" i="3"/>
  <c r="F180" i="3"/>
  <c r="F179" i="3"/>
  <c r="F178" i="3"/>
  <c r="F177" i="3"/>
  <c r="F175" i="3"/>
  <c r="F174" i="3"/>
  <c r="F173" i="3"/>
  <c r="F172" i="3"/>
  <c r="F171" i="3"/>
  <c r="F170" i="3"/>
  <c r="F169" i="3"/>
  <c r="F161" i="3"/>
  <c r="F145" i="3"/>
  <c r="F144" i="3"/>
  <c r="F143" i="3"/>
  <c r="F142" i="3"/>
  <c r="F141" i="3"/>
  <c r="F140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338" i="3"/>
  <c r="F337" i="3"/>
  <c r="F336" i="3"/>
  <c r="F335" i="3"/>
  <c r="F334" i="3"/>
  <c r="F333" i="3"/>
  <c r="F364" i="3"/>
  <c r="F363" i="3"/>
  <c r="F362" i="3"/>
  <c r="F361" i="3"/>
  <c r="F359" i="3"/>
  <c r="F357" i="3"/>
  <c r="F356" i="3"/>
  <c r="F355" i="3"/>
  <c r="F354" i="3"/>
  <c r="F353" i="3"/>
  <c r="F394" i="3"/>
  <c r="F388" i="3"/>
  <c r="F387" i="3"/>
  <c r="F386" i="3"/>
  <c r="F385" i="3"/>
  <c r="F383" i="3"/>
  <c r="F382" i="3"/>
  <c r="F381" i="3"/>
  <c r="F380" i="3"/>
  <c r="F379" i="3"/>
  <c r="F418" i="3"/>
  <c r="F417" i="3"/>
  <c r="F416" i="3"/>
  <c r="F415" i="3"/>
  <c r="F410" i="3"/>
  <c r="F408" i="3"/>
  <c r="F406" i="3"/>
  <c r="F405" i="3"/>
  <c r="F444" i="3"/>
  <c r="F435" i="3"/>
  <c r="F462" i="3"/>
  <c r="F461" i="3"/>
  <c r="F459" i="3"/>
  <c r="F458" i="3"/>
  <c r="F457" i="3"/>
  <c r="F454" i="3"/>
  <c r="F500" i="3"/>
  <c r="F499" i="3"/>
  <c r="F496" i="3"/>
  <c r="F495" i="3"/>
  <c r="F494" i="3"/>
  <c r="F492" i="3"/>
  <c r="F524" i="3"/>
  <c r="F523" i="3"/>
  <c r="F522" i="3"/>
  <c r="F521" i="3"/>
  <c r="F520" i="3"/>
  <c r="F519" i="3"/>
  <c r="F518" i="3"/>
  <c r="F517" i="3"/>
  <c r="F1124" i="3"/>
  <c r="F1128" i="3"/>
  <c r="F1127" i="3"/>
  <c r="F1121" i="3"/>
  <c r="F1120" i="3"/>
  <c r="F1119" i="3"/>
  <c r="F1118" i="3"/>
  <c r="F1117" i="3"/>
  <c r="F1115" i="3"/>
  <c r="F1114" i="3"/>
  <c r="F1113" i="3"/>
  <c r="F1112" i="3"/>
  <c r="F1111" i="3"/>
  <c r="F1109" i="3"/>
  <c r="F1108" i="3"/>
  <c r="F1107" i="3"/>
  <c r="F1105" i="3"/>
  <c r="F1104" i="3"/>
  <c r="F1103" i="3"/>
  <c r="F1086" i="3"/>
  <c r="F1085" i="3"/>
  <c r="F1095" i="3"/>
  <c r="F1094" i="3"/>
  <c r="F1093" i="3"/>
  <c r="F1092" i="3"/>
  <c r="F1091" i="3"/>
  <c r="F1090" i="3"/>
  <c r="F1089" i="3"/>
  <c r="F1088" i="3"/>
  <c r="F1079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30" i="3"/>
  <c r="F1029" i="3"/>
  <c r="F1027" i="3"/>
  <c r="F1026" i="3"/>
  <c r="F1024" i="3"/>
  <c r="F1023" i="3"/>
  <c r="F1022" i="3"/>
  <c r="F1020" i="3"/>
  <c r="F1019" i="3"/>
  <c r="F1018" i="3"/>
  <c r="F1017" i="3"/>
  <c r="F1016" i="3"/>
  <c r="F1015" i="3"/>
  <c r="F1014" i="3"/>
  <c r="F1013" i="3"/>
  <c r="F1012" i="3"/>
  <c r="F1011" i="3"/>
  <c r="F1010" i="3"/>
  <c r="F993" i="3"/>
  <c r="F992" i="3"/>
  <c r="F991" i="3"/>
  <c r="F990" i="3"/>
  <c r="F988" i="3"/>
  <c r="F987" i="3"/>
  <c r="F986" i="3"/>
  <c r="F985" i="3"/>
  <c r="F980" i="3"/>
  <c r="F978" i="3"/>
  <c r="F977" i="3"/>
  <c r="F976" i="3"/>
  <c r="F975" i="3"/>
  <c r="F973" i="3"/>
  <c r="F972" i="3"/>
  <c r="F971" i="3"/>
  <c r="F970" i="3"/>
  <c r="F969" i="3"/>
  <c r="F952" i="3"/>
  <c r="F951" i="3"/>
  <c r="F947" i="3"/>
  <c r="F946" i="3"/>
  <c r="F945" i="3"/>
  <c r="F944" i="3"/>
  <c r="F942" i="3"/>
  <c r="F941" i="3"/>
  <c r="F938" i="3"/>
  <c r="F937" i="3"/>
  <c r="F935" i="3"/>
  <c r="F932" i="3"/>
  <c r="F931" i="3"/>
  <c r="F930" i="3"/>
  <c r="F929" i="3"/>
  <c r="F928" i="3"/>
  <c r="F927" i="3"/>
  <c r="F926" i="3"/>
  <c r="F909" i="3"/>
  <c r="F898" i="3"/>
  <c r="F895" i="3"/>
  <c r="F894" i="3"/>
  <c r="F893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42" i="3"/>
  <c r="F841" i="3"/>
  <c r="F840" i="3"/>
  <c r="F839" i="3"/>
  <c r="F838" i="3"/>
  <c r="F837" i="3"/>
  <c r="F826" i="3"/>
  <c r="F824" i="3"/>
  <c r="F823" i="3"/>
  <c r="F822" i="3"/>
  <c r="F821" i="3"/>
  <c r="F820" i="3"/>
  <c r="F819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41" i="3"/>
  <c r="F740" i="3"/>
  <c r="F739" i="3"/>
  <c r="F738" i="3"/>
  <c r="F737" i="3"/>
  <c r="F720" i="3"/>
  <c r="F719" i="3"/>
  <c r="F718" i="3"/>
  <c r="F717" i="3"/>
  <c r="F716" i="3"/>
  <c r="F715" i="3"/>
  <c r="F713" i="3"/>
  <c r="F712" i="3"/>
  <c r="F711" i="3"/>
  <c r="F710" i="3"/>
  <c r="F708" i="3"/>
  <c r="F707" i="3"/>
  <c r="F706" i="3"/>
  <c r="F704" i="3"/>
  <c r="F703" i="3"/>
  <c r="F702" i="3"/>
  <c r="F701" i="3"/>
  <c r="F700" i="3"/>
  <c r="F699" i="3"/>
  <c r="F698" i="3"/>
  <c r="F697" i="3"/>
  <c r="F696" i="3"/>
  <c r="F694" i="3"/>
  <c r="F693" i="3"/>
  <c r="F692" i="3"/>
  <c r="F691" i="3"/>
  <c r="F690" i="3"/>
  <c r="F689" i="3"/>
  <c r="F688" i="3"/>
  <c r="F667" i="3"/>
  <c r="F666" i="3"/>
  <c r="F665" i="3"/>
  <c r="F664" i="3"/>
  <c r="F663" i="3"/>
  <c r="F662" i="3"/>
  <c r="F661" i="3"/>
  <c r="F660" i="3"/>
  <c r="F659" i="3"/>
  <c r="F658" i="3"/>
  <c r="F656" i="3"/>
  <c r="F655" i="3"/>
  <c r="F654" i="3"/>
  <c r="F653" i="3"/>
  <c r="F652" i="3"/>
  <c r="F651" i="3"/>
  <c r="F650" i="3"/>
  <c r="F649" i="3"/>
  <c r="F648" i="3"/>
  <c r="F647" i="3"/>
  <c r="F646" i="3"/>
  <c r="F644" i="3"/>
  <c r="F642" i="3"/>
  <c r="F640" i="3"/>
  <c r="F639" i="3"/>
  <c r="F638" i="3"/>
  <c r="F637" i="3"/>
  <c r="F636" i="3"/>
  <c r="F619" i="3"/>
  <c r="F618" i="3"/>
  <c r="F617" i="3"/>
  <c r="F616" i="3"/>
  <c r="F615" i="3"/>
  <c r="F614" i="3"/>
  <c r="F613" i="3"/>
  <c r="F612" i="3"/>
  <c r="F611" i="3"/>
  <c r="F595" i="3"/>
  <c r="F594" i="3"/>
  <c r="F592" i="3"/>
  <c r="F591" i="3"/>
  <c r="F590" i="3"/>
  <c r="F589" i="3"/>
  <c r="F588" i="3"/>
  <c r="F571" i="3"/>
  <c r="F570" i="3"/>
  <c r="F569" i="3"/>
  <c r="F568" i="3"/>
  <c r="F567" i="3"/>
  <c r="F566" i="3"/>
  <c r="F565" i="3"/>
  <c r="E548" i="3"/>
  <c r="F549" i="3"/>
  <c r="F548" i="3"/>
  <c r="F547" i="3"/>
  <c r="F546" i="3"/>
  <c r="F545" i="3"/>
  <c r="F544" i="3"/>
  <c r="F543" i="3"/>
  <c r="F542" i="3"/>
  <c r="F541" i="3"/>
  <c r="F540" i="3"/>
  <c r="E314" i="3"/>
  <c r="E313" i="3"/>
  <c r="E312" i="3"/>
  <c r="F318" i="3"/>
  <c r="E318" i="3"/>
  <c r="K316" i="3"/>
  <c r="F316" i="3" s="1"/>
  <c r="L315" i="3"/>
  <c r="K315" i="3"/>
  <c r="F314" i="3"/>
  <c r="F313" i="3"/>
  <c r="F312" i="3"/>
  <c r="F317" i="3"/>
  <c r="F311" i="3"/>
  <c r="F310" i="3"/>
  <c r="F309" i="3"/>
  <c r="F308" i="3"/>
  <c r="B307" i="3"/>
  <c r="F307" i="3"/>
  <c r="B73" i="3"/>
  <c r="C97" i="3"/>
  <c r="E97" i="3" s="1"/>
  <c r="B96" i="3"/>
  <c r="E96" i="3" s="1"/>
  <c r="F103" i="3"/>
  <c r="F101" i="3"/>
  <c r="F111" i="3"/>
  <c r="F110" i="3"/>
  <c r="F107" i="3"/>
  <c r="F105" i="3"/>
  <c r="E111" i="3"/>
  <c r="F99" i="3"/>
  <c r="K97" i="3"/>
  <c r="F97" i="3" s="1"/>
  <c r="K96" i="3"/>
  <c r="F96" i="3" s="1"/>
  <c r="E107" i="3"/>
  <c r="E105" i="3"/>
  <c r="E103" i="3"/>
  <c r="E101" i="3"/>
  <c r="E99" i="3"/>
  <c r="E94" i="3"/>
  <c r="E92" i="3"/>
  <c r="E90" i="3"/>
  <c r="E88" i="3"/>
  <c r="F94" i="3"/>
  <c r="F92" i="3"/>
  <c r="F90" i="3"/>
  <c r="F88" i="3"/>
  <c r="O73" i="3"/>
  <c r="N73" i="3"/>
  <c r="M73" i="3"/>
  <c r="F79" i="3"/>
  <c r="F78" i="3"/>
  <c r="F77" i="3"/>
  <c r="F76" i="3"/>
  <c r="F75" i="3"/>
  <c r="F74" i="3"/>
  <c r="F72" i="3"/>
  <c r="F71" i="3"/>
  <c r="F70" i="3"/>
  <c r="F69" i="3"/>
  <c r="F68" i="3"/>
  <c r="F67" i="3"/>
  <c r="F66" i="3"/>
  <c r="F65" i="3"/>
  <c r="F64" i="3"/>
  <c r="K63" i="3"/>
  <c r="F63" i="3" s="1"/>
  <c r="F86" i="3"/>
  <c r="E86" i="3"/>
  <c r="G50" i="3"/>
  <c r="F50" i="3" s="1"/>
  <c r="F33" i="3"/>
  <c r="F32" i="3"/>
  <c r="E33" i="3"/>
  <c r="E32" i="3"/>
  <c r="F55" i="3"/>
  <c r="F54" i="3"/>
  <c r="F53" i="3"/>
  <c r="E48" i="3"/>
  <c r="F48" i="3"/>
  <c r="F47" i="3"/>
  <c r="F46" i="3"/>
  <c r="F45" i="3"/>
  <c r="F43" i="3"/>
  <c r="E43" i="3"/>
  <c r="F35" i="3"/>
  <c r="F41" i="3"/>
  <c r="F39" i="3"/>
  <c r="F37" i="3"/>
  <c r="E21" i="3"/>
  <c r="E17" i="3"/>
  <c r="C8" i="3"/>
  <c r="F20" i="3"/>
  <c r="N19" i="3"/>
  <c r="F19" i="3" s="1"/>
  <c r="K12" i="3"/>
  <c r="F12" i="3" s="1"/>
  <c r="M11" i="3"/>
  <c r="F11" i="3" s="1"/>
  <c r="N23" i="3"/>
  <c r="F23" i="3" s="1"/>
  <c r="F21" i="3"/>
  <c r="F17" i="3"/>
  <c r="F24" i="3"/>
  <c r="F22" i="3"/>
  <c r="F18" i="3"/>
  <c r="F16" i="3"/>
  <c r="F15" i="3"/>
  <c r="F14" i="3"/>
  <c r="F13" i="3"/>
  <c r="K10" i="3"/>
  <c r="F10" i="3" s="1"/>
  <c r="F315" i="3" l="1"/>
  <c r="F73" i="3"/>
  <c r="P9" i="3"/>
  <c r="J9" i="3"/>
  <c r="E1130" i="3"/>
  <c r="E1128" i="3"/>
  <c r="E1127" i="3"/>
  <c r="E1125" i="3"/>
  <c r="E1124" i="3"/>
  <c r="E1121" i="3"/>
  <c r="E1120" i="3"/>
  <c r="E1119" i="3"/>
  <c r="E1118" i="3"/>
  <c r="E1117" i="3"/>
  <c r="E1115" i="3"/>
  <c r="E1114" i="3"/>
  <c r="E1113" i="3"/>
  <c r="E1112" i="3"/>
  <c r="E1111" i="3"/>
  <c r="E1109" i="3"/>
  <c r="E1108" i="3"/>
  <c r="E1107" i="3"/>
  <c r="E1105" i="3"/>
  <c r="E1104" i="3"/>
  <c r="D1102" i="3"/>
  <c r="C1102" i="3"/>
  <c r="B1102" i="3"/>
  <c r="E1095" i="3"/>
  <c r="E1094" i="3"/>
  <c r="E1093" i="3"/>
  <c r="E1092" i="3"/>
  <c r="E1091" i="3"/>
  <c r="E1090" i="3"/>
  <c r="E1089" i="3"/>
  <c r="E1088" i="3"/>
  <c r="E1086" i="3"/>
  <c r="E1085" i="3"/>
  <c r="E1083" i="3"/>
  <c r="E1082" i="3"/>
  <c r="E1079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D1047" i="3"/>
  <c r="C1047" i="3"/>
  <c r="E1040" i="3"/>
  <c r="F1040" i="3" s="1"/>
  <c r="E1038" i="3"/>
  <c r="E1037" i="3"/>
  <c r="E1035" i="3"/>
  <c r="E1034" i="3"/>
  <c r="E1030" i="3"/>
  <c r="E1029" i="3"/>
  <c r="E1027" i="3"/>
  <c r="E1026" i="3"/>
  <c r="E1024" i="3"/>
  <c r="E1023" i="3"/>
  <c r="E1022" i="3"/>
  <c r="E1020" i="3"/>
  <c r="E1019" i="3"/>
  <c r="E1018" i="3"/>
  <c r="E1017" i="3"/>
  <c r="E1016" i="3"/>
  <c r="E1015" i="3"/>
  <c r="E1014" i="3"/>
  <c r="E1013" i="3"/>
  <c r="E1012" i="3"/>
  <c r="E1011" i="3"/>
  <c r="E1010" i="3"/>
  <c r="D1009" i="3"/>
  <c r="C1009" i="3"/>
  <c r="E1002" i="3"/>
  <c r="E1000" i="3"/>
  <c r="E999" i="3"/>
  <c r="E997" i="3"/>
  <c r="E996" i="3"/>
  <c r="E993" i="3"/>
  <c r="E992" i="3"/>
  <c r="E991" i="3"/>
  <c r="E990" i="3"/>
  <c r="E988" i="3"/>
  <c r="E987" i="3"/>
  <c r="E986" i="3"/>
  <c r="E985" i="3"/>
  <c r="E980" i="3"/>
  <c r="E978" i="3"/>
  <c r="E977" i="3"/>
  <c r="E976" i="3"/>
  <c r="E975" i="3"/>
  <c r="E973" i="3"/>
  <c r="E972" i="3"/>
  <c r="E971" i="3"/>
  <c r="E970" i="3"/>
  <c r="E969" i="3"/>
  <c r="D968" i="3"/>
  <c r="C968" i="3"/>
  <c r="B968" i="3"/>
  <c r="E961" i="3"/>
  <c r="F961" i="3" s="1"/>
  <c r="E959" i="3"/>
  <c r="E958" i="3"/>
  <c r="F958" i="3" s="1"/>
  <c r="E956" i="3"/>
  <c r="E955" i="3"/>
  <c r="E952" i="3"/>
  <c r="E951" i="3"/>
  <c r="E947" i="3"/>
  <c r="E946" i="3"/>
  <c r="E945" i="3"/>
  <c r="E944" i="3"/>
  <c r="E942" i="3"/>
  <c r="E941" i="3"/>
  <c r="E938" i="3"/>
  <c r="E937" i="3"/>
  <c r="E935" i="3"/>
  <c r="E932" i="3"/>
  <c r="E931" i="3"/>
  <c r="E930" i="3"/>
  <c r="E929" i="3"/>
  <c r="E928" i="3"/>
  <c r="E927" i="3"/>
  <c r="E926" i="3"/>
  <c r="D925" i="3"/>
  <c r="C925" i="3"/>
  <c r="E918" i="3"/>
  <c r="E916" i="3"/>
  <c r="E915" i="3"/>
  <c r="E913" i="3"/>
  <c r="E912" i="3"/>
  <c r="E909" i="3"/>
  <c r="E900" i="3"/>
  <c r="E899" i="3"/>
  <c r="E898" i="3"/>
  <c r="E895" i="3"/>
  <c r="E894" i="3"/>
  <c r="E893" i="3"/>
  <c r="D892" i="3"/>
  <c r="C892" i="3"/>
  <c r="B892" i="3"/>
  <c r="E886" i="3"/>
  <c r="E884" i="3"/>
  <c r="E881" i="3"/>
  <c r="E879" i="3"/>
  <c r="E878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D862" i="3"/>
  <c r="C862" i="3"/>
  <c r="B862" i="3"/>
  <c r="E1137" i="3" s="1"/>
  <c r="E849" i="3"/>
  <c r="E848" i="3"/>
  <c r="E846" i="3"/>
  <c r="E845" i="3"/>
  <c r="E842" i="3"/>
  <c r="E841" i="3"/>
  <c r="E840" i="3"/>
  <c r="E839" i="3"/>
  <c r="E838" i="3"/>
  <c r="E837" i="3"/>
  <c r="E834" i="3"/>
  <c r="E833" i="3"/>
  <c r="E826" i="3"/>
  <c r="E824" i="3"/>
  <c r="E823" i="3"/>
  <c r="E822" i="3"/>
  <c r="E821" i="3"/>
  <c r="E820" i="3"/>
  <c r="E819" i="3"/>
  <c r="D818" i="3"/>
  <c r="C818" i="3"/>
  <c r="E812" i="3"/>
  <c r="E810" i="3"/>
  <c r="E809" i="3"/>
  <c r="E807" i="3"/>
  <c r="E806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D788" i="3"/>
  <c r="C788" i="3"/>
  <c r="B788" i="3"/>
  <c r="E782" i="3"/>
  <c r="E776" i="3"/>
  <c r="E775" i="3"/>
  <c r="E773" i="3"/>
  <c r="E772" i="3"/>
  <c r="E769" i="3"/>
  <c r="E741" i="3"/>
  <c r="E740" i="3"/>
  <c r="E739" i="3"/>
  <c r="E738" i="3"/>
  <c r="E737" i="3"/>
  <c r="D736" i="3"/>
  <c r="C736" i="3"/>
  <c r="E730" i="3"/>
  <c r="E729" i="3"/>
  <c r="E727" i="3"/>
  <c r="E726" i="3"/>
  <c r="E724" i="3"/>
  <c r="E723" i="3"/>
  <c r="E720" i="3"/>
  <c r="E719" i="3"/>
  <c r="E718" i="3"/>
  <c r="E717" i="3"/>
  <c r="E716" i="3"/>
  <c r="B715" i="3"/>
  <c r="E715" i="3" s="1"/>
  <c r="E713" i="3"/>
  <c r="E712" i="3"/>
  <c r="E711" i="3"/>
  <c r="E710" i="3"/>
  <c r="F687" i="3" s="1"/>
  <c r="E708" i="3"/>
  <c r="E707" i="3"/>
  <c r="E706" i="3"/>
  <c r="E704" i="3"/>
  <c r="E703" i="3"/>
  <c r="E702" i="3"/>
  <c r="E701" i="3"/>
  <c r="E700" i="3"/>
  <c r="E699" i="3"/>
  <c r="E698" i="3"/>
  <c r="E697" i="3"/>
  <c r="E696" i="3"/>
  <c r="B694" i="3"/>
  <c r="E694" i="3" s="1"/>
  <c r="E693" i="3"/>
  <c r="E692" i="3"/>
  <c r="B691" i="3"/>
  <c r="E691" i="3" s="1"/>
  <c r="E690" i="3"/>
  <c r="E689" i="3"/>
  <c r="B688" i="3"/>
  <c r="D687" i="3"/>
  <c r="C687" i="3"/>
  <c r="E674" i="3"/>
  <c r="E673" i="3"/>
  <c r="E671" i="3"/>
  <c r="E670" i="3"/>
  <c r="E667" i="3"/>
  <c r="E666" i="3"/>
  <c r="E665" i="3"/>
  <c r="E664" i="3"/>
  <c r="E663" i="3"/>
  <c r="E662" i="3"/>
  <c r="E661" i="3"/>
  <c r="E660" i="3"/>
  <c r="E659" i="3"/>
  <c r="E658" i="3"/>
  <c r="E656" i="3"/>
  <c r="E655" i="3"/>
  <c r="E654" i="3"/>
  <c r="E653" i="3"/>
  <c r="E652" i="3"/>
  <c r="E651" i="3"/>
  <c r="E650" i="3"/>
  <c r="E649" i="3"/>
  <c r="E648" i="3"/>
  <c r="E647" i="3"/>
  <c r="E646" i="3"/>
  <c r="E644" i="3"/>
  <c r="E642" i="3"/>
  <c r="E640" i="3"/>
  <c r="E639" i="3"/>
  <c r="E638" i="3"/>
  <c r="E637" i="3"/>
  <c r="E636" i="3"/>
  <c r="D635" i="3"/>
  <c r="C635" i="3"/>
  <c r="B635" i="3"/>
  <c r="E628" i="3"/>
  <c r="E626" i="3"/>
  <c r="E625" i="3"/>
  <c r="E623" i="3"/>
  <c r="E622" i="3"/>
  <c r="E619" i="3"/>
  <c r="E618" i="3"/>
  <c r="E617" i="3"/>
  <c r="E616" i="3"/>
  <c r="E615" i="3"/>
  <c r="E614" i="3"/>
  <c r="E613" i="3"/>
  <c r="E612" i="3"/>
  <c r="E611" i="3"/>
  <c r="D610" i="3"/>
  <c r="C610" i="3"/>
  <c r="B610" i="3"/>
  <c r="E604" i="3"/>
  <c r="E602" i="3"/>
  <c r="E601" i="3"/>
  <c r="E599" i="3"/>
  <c r="E598" i="3"/>
  <c r="E595" i="3"/>
  <c r="E594" i="3"/>
  <c r="E592" i="3"/>
  <c r="E591" i="3"/>
  <c r="E590" i="3"/>
  <c r="E589" i="3"/>
  <c r="E588" i="3"/>
  <c r="D587" i="3"/>
  <c r="C587" i="3"/>
  <c r="B587" i="3"/>
  <c r="E580" i="3"/>
  <c r="E578" i="3"/>
  <c r="E577" i="3"/>
  <c r="E575" i="3"/>
  <c r="E574" i="3"/>
  <c r="E571" i="3"/>
  <c r="E570" i="3"/>
  <c r="E569" i="3"/>
  <c r="E568" i="3"/>
  <c r="E567" i="3"/>
  <c r="E566" i="3"/>
  <c r="E565" i="3"/>
  <c r="D564" i="3"/>
  <c r="C564" i="3"/>
  <c r="B564" i="3"/>
  <c r="E558" i="3"/>
  <c r="E556" i="3"/>
  <c r="E555" i="3"/>
  <c r="E553" i="3"/>
  <c r="E552" i="3"/>
  <c r="E549" i="3"/>
  <c r="E547" i="3"/>
  <c r="E546" i="3"/>
  <c r="E545" i="3"/>
  <c r="E544" i="3"/>
  <c r="E543" i="3"/>
  <c r="E542" i="3"/>
  <c r="E541" i="3"/>
  <c r="E540" i="3"/>
  <c r="D539" i="3"/>
  <c r="C539" i="3"/>
  <c r="B539" i="3"/>
  <c r="E533" i="3"/>
  <c r="E531" i="3"/>
  <c r="E530" i="3"/>
  <c r="E528" i="3"/>
  <c r="E527" i="3"/>
  <c r="E524" i="3"/>
  <c r="E523" i="3"/>
  <c r="E522" i="3"/>
  <c r="E521" i="3"/>
  <c r="E520" i="3"/>
  <c r="E519" i="3"/>
  <c r="E518" i="3"/>
  <c r="E517" i="3"/>
  <c r="D516" i="3"/>
  <c r="C516" i="3"/>
  <c r="B516" i="3"/>
  <c r="E509" i="3"/>
  <c r="E507" i="3"/>
  <c r="E506" i="3"/>
  <c r="E504" i="3"/>
  <c r="E503" i="3"/>
  <c r="E500" i="3"/>
  <c r="E499" i="3"/>
  <c r="E496" i="3"/>
  <c r="E495" i="3"/>
  <c r="E494" i="3"/>
  <c r="E492" i="3"/>
  <c r="D491" i="3"/>
  <c r="D476" i="3" s="1"/>
  <c r="C491" i="3"/>
  <c r="C476" i="3" s="1"/>
  <c r="B491" i="3"/>
  <c r="B476" i="3" s="1"/>
  <c r="E471" i="3"/>
  <c r="E469" i="3"/>
  <c r="E468" i="3"/>
  <c r="E466" i="3"/>
  <c r="E465" i="3"/>
  <c r="E462" i="3"/>
  <c r="E461" i="3"/>
  <c r="E459" i="3"/>
  <c r="E458" i="3"/>
  <c r="E457" i="3"/>
  <c r="E454" i="3"/>
  <c r="D453" i="3"/>
  <c r="C453" i="3"/>
  <c r="B453" i="3"/>
  <c r="E447" i="3"/>
  <c r="E445" i="3"/>
  <c r="E444" i="3"/>
  <c r="E442" i="3"/>
  <c r="E441" i="3"/>
  <c r="E435" i="3"/>
  <c r="D434" i="3"/>
  <c r="C434" i="3"/>
  <c r="B434" i="3"/>
  <c r="E427" i="3"/>
  <c r="E425" i="3"/>
  <c r="E424" i="3"/>
  <c r="E422" i="3"/>
  <c r="E421" i="3"/>
  <c r="E418" i="3"/>
  <c r="E417" i="3"/>
  <c r="E416" i="3"/>
  <c r="E415" i="3"/>
  <c r="E410" i="3"/>
  <c r="E408" i="3"/>
  <c r="E406" i="3"/>
  <c r="E405" i="3"/>
  <c r="D404" i="3"/>
  <c r="C404" i="3"/>
  <c r="B404" i="3"/>
  <c r="E397" i="3"/>
  <c r="E395" i="3"/>
  <c r="E394" i="3"/>
  <c r="E392" i="3"/>
  <c r="E391" i="3"/>
  <c r="E388" i="3"/>
  <c r="E387" i="3"/>
  <c r="E386" i="3"/>
  <c r="E385" i="3"/>
  <c r="E383" i="3"/>
  <c r="E382" i="3"/>
  <c r="E381" i="3"/>
  <c r="E380" i="3"/>
  <c r="E379" i="3"/>
  <c r="D378" i="3"/>
  <c r="C378" i="3"/>
  <c r="B378" i="3"/>
  <c r="E373" i="3"/>
  <c r="E371" i="3"/>
  <c r="E370" i="3"/>
  <c r="E368" i="3"/>
  <c r="E367" i="3"/>
  <c r="E364" i="3"/>
  <c r="E363" i="3"/>
  <c r="E362" i="3"/>
  <c r="E361" i="3"/>
  <c r="E359" i="3"/>
  <c r="E357" i="3"/>
  <c r="E356" i="3"/>
  <c r="E355" i="3"/>
  <c r="E354" i="3"/>
  <c r="E353" i="3"/>
  <c r="D352" i="3"/>
  <c r="C352" i="3"/>
  <c r="B352" i="3"/>
  <c r="E347" i="3"/>
  <c r="E345" i="3"/>
  <c r="E344" i="3"/>
  <c r="E342" i="3"/>
  <c r="E341" i="3"/>
  <c r="E338" i="3"/>
  <c r="E337" i="3"/>
  <c r="E336" i="3"/>
  <c r="E335" i="3"/>
  <c r="E334" i="3"/>
  <c r="E333" i="3"/>
  <c r="D332" i="3"/>
  <c r="C332" i="3"/>
  <c r="B332" i="3"/>
  <c r="E327" i="3"/>
  <c r="E325" i="3"/>
  <c r="E324" i="3"/>
  <c r="E322" i="3"/>
  <c r="E321" i="3"/>
  <c r="E317" i="3"/>
  <c r="E316" i="3"/>
  <c r="E315" i="3"/>
  <c r="E311" i="3"/>
  <c r="E310" i="3"/>
  <c r="E309" i="3"/>
  <c r="E308" i="3"/>
  <c r="E307" i="3"/>
  <c r="F306" i="3" s="1"/>
  <c r="D306" i="3"/>
  <c r="C306" i="3"/>
  <c r="B306" i="3"/>
  <c r="E299" i="3"/>
  <c r="F299" i="3" s="1"/>
  <c r="E297" i="3"/>
  <c r="E296" i="3"/>
  <c r="E294" i="3"/>
  <c r="E293" i="3"/>
  <c r="E290" i="3"/>
  <c r="E289" i="3"/>
  <c r="E288" i="3"/>
  <c r="E287" i="3"/>
  <c r="D286" i="3"/>
  <c r="C286" i="3"/>
  <c r="B286" i="3"/>
  <c r="E280" i="3"/>
  <c r="E278" i="3"/>
  <c r="E277" i="3"/>
  <c r="E275" i="3"/>
  <c r="E274" i="3"/>
  <c r="E271" i="3"/>
  <c r="E254" i="3"/>
  <c r="D253" i="3"/>
  <c r="C253" i="3"/>
  <c r="B253" i="3"/>
  <c r="E247" i="3"/>
  <c r="E245" i="3"/>
  <c r="E244" i="3"/>
  <c r="E242" i="3"/>
  <c r="E241" i="3"/>
  <c r="E238" i="3"/>
  <c r="E237" i="3"/>
  <c r="E236" i="3"/>
  <c r="E235" i="3"/>
  <c r="D234" i="3"/>
  <c r="C234" i="3"/>
  <c r="B234" i="3"/>
  <c r="E227" i="3"/>
  <c r="E226" i="3"/>
  <c r="E225" i="3"/>
  <c r="E224" i="3"/>
  <c r="E223" i="3"/>
  <c r="E222" i="3"/>
  <c r="E221" i="3"/>
  <c r="E220" i="3"/>
  <c r="E218" i="3"/>
  <c r="E217" i="3"/>
  <c r="E216" i="3"/>
  <c r="E214" i="3"/>
  <c r="E207" i="3"/>
  <c r="E206" i="3"/>
  <c r="H203" i="3"/>
  <c r="G203" i="3"/>
  <c r="E203" i="3"/>
  <c r="E202" i="3"/>
  <c r="E200" i="3"/>
  <c r="E199" i="3"/>
  <c r="E198" i="3"/>
  <c r="E197" i="3"/>
  <c r="E194" i="3"/>
  <c r="E192" i="3"/>
  <c r="E190" i="3"/>
  <c r="E189" i="3"/>
  <c r="E188" i="3"/>
  <c r="E187" i="3"/>
  <c r="E186" i="3"/>
  <c r="E185" i="3"/>
  <c r="E184" i="3"/>
  <c r="E182" i="3"/>
  <c r="E181" i="3"/>
  <c r="E180" i="3"/>
  <c r="E179" i="3"/>
  <c r="E178" i="3"/>
  <c r="E177" i="3"/>
  <c r="E175" i="3"/>
  <c r="E174" i="3"/>
  <c r="E173" i="3"/>
  <c r="E172" i="3"/>
  <c r="E171" i="3"/>
  <c r="E170" i="3"/>
  <c r="E169" i="3"/>
  <c r="E161" i="3"/>
  <c r="D160" i="3"/>
  <c r="C160" i="3"/>
  <c r="E154" i="3"/>
  <c r="E152" i="3"/>
  <c r="E149" i="3"/>
  <c r="E148" i="3"/>
  <c r="E145" i="3"/>
  <c r="E144" i="3"/>
  <c r="E143" i="3"/>
  <c r="E142" i="3"/>
  <c r="E141" i="3"/>
  <c r="E140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D121" i="3"/>
  <c r="C121" i="3"/>
  <c r="B121" i="3"/>
  <c r="E116" i="3"/>
  <c r="E110" i="3"/>
  <c r="E83" i="3"/>
  <c r="E82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D62" i="3"/>
  <c r="C62" i="3"/>
  <c r="E55" i="3"/>
  <c r="E54" i="3"/>
  <c r="E53" i="3"/>
  <c r="E50" i="3"/>
  <c r="E47" i="3"/>
  <c r="E46" i="3"/>
  <c r="E45" i="3"/>
  <c r="E41" i="3"/>
  <c r="E39" i="3"/>
  <c r="E37" i="3"/>
  <c r="E35" i="3"/>
  <c r="E28" i="3"/>
  <c r="E27" i="3"/>
  <c r="E24" i="3"/>
  <c r="E23" i="3"/>
  <c r="E22" i="3"/>
  <c r="E19" i="3"/>
  <c r="E18" i="3"/>
  <c r="E16" i="3"/>
  <c r="E15" i="3"/>
  <c r="E14" i="3"/>
  <c r="E13" i="3"/>
  <c r="E12" i="3"/>
  <c r="E11" i="3"/>
  <c r="E10" i="3"/>
  <c r="E9" i="3"/>
  <c r="D8" i="3"/>
  <c r="B8" i="3"/>
  <c r="E43" i="1"/>
  <c r="E42" i="1"/>
  <c r="C1135" i="3" l="1"/>
  <c r="D1135" i="3"/>
  <c r="E1102" i="3"/>
  <c r="F203" i="3"/>
  <c r="F62" i="3"/>
  <c r="B1009" i="3"/>
  <c r="F9" i="3"/>
  <c r="E862" i="3"/>
  <c r="E539" i="3"/>
  <c r="E610" i="3"/>
  <c r="E788" i="3"/>
  <c r="E892" i="3"/>
  <c r="G299" i="3"/>
  <c r="E62" i="3"/>
  <c r="E332" i="3"/>
  <c r="F782" i="3"/>
  <c r="B160" i="3"/>
  <c r="E434" i="3"/>
  <c r="E491" i="3"/>
  <c r="E476" i="3" s="1"/>
  <c r="B818" i="3"/>
  <c r="E306" i="3"/>
  <c r="E404" i="3"/>
  <c r="F204" i="3"/>
  <c r="E286" i="3"/>
  <c r="B736" i="3"/>
  <c r="F1125" i="3"/>
  <c r="E234" i="3"/>
  <c r="E378" i="3"/>
  <c r="B687" i="3"/>
  <c r="E121" i="3"/>
  <c r="E253" i="3"/>
  <c r="E352" i="3"/>
  <c r="E453" i="3"/>
  <c r="E968" i="3"/>
  <c r="E635" i="3"/>
  <c r="F953" i="3"/>
  <c r="E818" i="3"/>
  <c r="E160" i="3"/>
  <c r="F843" i="3"/>
  <c r="F1032" i="3"/>
  <c r="E736" i="3"/>
  <c r="E564" i="3"/>
  <c r="E688" i="3"/>
  <c r="E687" i="3" s="1"/>
  <c r="E587" i="3"/>
  <c r="E516" i="3"/>
  <c r="E1009" i="3"/>
  <c r="E20" i="3"/>
  <c r="E8" i="3" s="1"/>
  <c r="B62" i="3"/>
  <c r="E925" i="3"/>
  <c r="F899" i="3" l="1"/>
  <c r="F56" i="3"/>
  <c r="F900" i="3"/>
  <c r="G77" i="1" l="1"/>
  <c r="H158" i="1"/>
  <c r="G158" i="1"/>
  <c r="C942" i="1" l="1"/>
  <c r="D942" i="1"/>
  <c r="C895" i="1"/>
  <c r="D895" i="1"/>
  <c r="C860" i="1"/>
  <c r="D860" i="1"/>
  <c r="C824" i="1"/>
  <c r="D824" i="1"/>
  <c r="C790" i="1"/>
  <c r="D790" i="1"/>
  <c r="C761" i="1"/>
  <c r="D761" i="1"/>
  <c r="C733" i="1"/>
  <c r="D733" i="1"/>
  <c r="C697" i="1"/>
  <c r="D697" i="1"/>
  <c r="C667" i="1"/>
  <c r="D667" i="1"/>
  <c r="C623" i="1"/>
  <c r="D623" i="1"/>
  <c r="C578" i="1"/>
  <c r="D578" i="1"/>
  <c r="C535" i="1"/>
  <c r="D535" i="1"/>
  <c r="C510" i="1"/>
  <c r="D510" i="1"/>
  <c r="C488" i="1"/>
  <c r="D488" i="1"/>
  <c r="C465" i="1"/>
  <c r="D465" i="1"/>
  <c r="C441" i="1"/>
  <c r="D441" i="1"/>
  <c r="C418" i="1"/>
  <c r="D418" i="1"/>
  <c r="C396" i="1"/>
  <c r="D396" i="1"/>
  <c r="C374" i="1"/>
  <c r="D374" i="1"/>
  <c r="C357" i="1"/>
  <c r="D357" i="1"/>
  <c r="C333" i="1"/>
  <c r="D333" i="1"/>
  <c r="C308" i="1"/>
  <c r="D308" i="1"/>
  <c r="C284" i="1"/>
  <c r="D284" i="1"/>
  <c r="D264" i="1"/>
  <c r="C264" i="1"/>
  <c r="D242" i="1"/>
  <c r="C242" i="1"/>
  <c r="D222" i="1"/>
  <c r="C222" i="1"/>
  <c r="D203" i="1"/>
  <c r="C203" i="1"/>
  <c r="D184" i="1"/>
  <c r="C184" i="1"/>
  <c r="D128" i="1"/>
  <c r="C128" i="1"/>
  <c r="C90" i="1"/>
  <c r="D57" i="1"/>
  <c r="C57" i="1"/>
  <c r="D8" i="1"/>
  <c r="B8" i="1"/>
  <c r="E45" i="1"/>
  <c r="E41" i="1"/>
  <c r="B156" i="1" l="1"/>
  <c r="B155" i="1"/>
  <c r="B154" i="1"/>
  <c r="B153" i="1"/>
  <c r="B152" i="1"/>
  <c r="B151" i="1"/>
  <c r="B148" i="1"/>
  <c r="B147" i="1"/>
  <c r="B146" i="1"/>
  <c r="B145" i="1"/>
  <c r="B144" i="1"/>
  <c r="B143" i="1"/>
  <c r="B138" i="1"/>
  <c r="B137" i="1"/>
  <c r="B136" i="1"/>
  <c r="B135" i="1"/>
  <c r="B134" i="1"/>
  <c r="B133" i="1"/>
  <c r="B130" i="1"/>
  <c r="B129" i="1"/>
  <c r="E710" i="1"/>
  <c r="E709" i="1"/>
  <c r="E706" i="1"/>
  <c r="E705" i="1"/>
  <c r="E704" i="1"/>
  <c r="E700" i="1"/>
  <c r="E699" i="1"/>
  <c r="B713" i="1"/>
  <c r="E713" i="1" s="1"/>
  <c r="B712" i="1"/>
  <c r="E712" i="1" s="1"/>
  <c r="B711" i="1"/>
  <c r="E711" i="1" s="1"/>
  <c r="B708" i="1"/>
  <c r="E708" i="1" s="1"/>
  <c r="B707" i="1"/>
  <c r="E707" i="1" s="1"/>
  <c r="B703" i="1"/>
  <c r="E703" i="1" s="1"/>
  <c r="B702" i="1"/>
  <c r="E702" i="1" s="1"/>
  <c r="B701" i="1"/>
  <c r="E701" i="1" s="1"/>
  <c r="B803" i="1"/>
  <c r="B802" i="1"/>
  <c r="B801" i="1"/>
  <c r="B795" i="1"/>
  <c r="B794" i="1"/>
  <c r="B602" i="1"/>
  <c r="B598" i="1"/>
  <c r="B597" i="1"/>
  <c r="B596" i="1"/>
  <c r="B595" i="1"/>
  <c r="B585" i="1"/>
  <c r="B582" i="1"/>
  <c r="B579" i="1"/>
  <c r="B636" i="1"/>
  <c r="B629" i="1"/>
  <c r="B627" i="1"/>
  <c r="B624" i="1"/>
  <c r="B864" i="1"/>
  <c r="B863" i="1"/>
  <c r="B862" i="1"/>
  <c r="B861" i="1"/>
  <c r="B69" i="1"/>
  <c r="B57" i="1" s="1"/>
  <c r="B942" i="1" l="1"/>
  <c r="B860" i="1"/>
  <c r="B824" i="1"/>
  <c r="B790" i="1"/>
  <c r="B761" i="1"/>
  <c r="B733" i="1"/>
  <c r="E974" i="1" s="1"/>
  <c r="B697" i="1"/>
  <c r="B667" i="1"/>
  <c r="B623" i="1"/>
  <c r="B578" i="1"/>
  <c r="B535" i="1"/>
  <c r="B510" i="1"/>
  <c r="B488" i="1"/>
  <c r="B465" i="1"/>
  <c r="B441" i="1"/>
  <c r="B418" i="1"/>
  <c r="B396" i="1"/>
  <c r="B374" i="1"/>
  <c r="B357" i="1"/>
  <c r="B333" i="1"/>
  <c r="B308" i="1"/>
  <c r="B284" i="1"/>
  <c r="B264" i="1"/>
  <c r="B242" i="1"/>
  <c r="B222" i="1"/>
  <c r="B203" i="1"/>
  <c r="B184" i="1"/>
  <c r="B90" i="1"/>
  <c r="G165" i="1" s="1"/>
  <c r="E698" i="1"/>
  <c r="G51" i="1"/>
  <c r="E49" i="1"/>
  <c r="E39" i="1"/>
  <c r="E37" i="1"/>
  <c r="E35" i="1"/>
  <c r="E33" i="1"/>
  <c r="C19" i="1"/>
  <c r="E50" i="1"/>
  <c r="E48" i="1"/>
  <c r="E31" i="1"/>
  <c r="F39" i="1" s="1"/>
  <c r="E27" i="1"/>
  <c r="E26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19" i="1" l="1"/>
  <c r="C8" i="1"/>
  <c r="C972" i="1" s="1"/>
  <c r="E8" i="1"/>
  <c r="F50" i="1"/>
  <c r="F23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38" i="2"/>
  <c r="D38" i="2"/>
  <c r="G960" i="1"/>
  <c r="E967" i="1"/>
  <c r="E965" i="1"/>
  <c r="E964" i="1"/>
  <c r="F964" i="1" s="1"/>
  <c r="E962" i="1"/>
  <c r="E961" i="1"/>
  <c r="E943" i="1"/>
  <c r="E920" i="1"/>
  <c r="E919" i="1"/>
  <c r="E918" i="1"/>
  <c r="E917" i="1"/>
  <c r="E916" i="1"/>
  <c r="E915" i="1"/>
  <c r="E914" i="1"/>
  <c r="E913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B912" i="1"/>
  <c r="E936" i="1"/>
  <c r="E935" i="1"/>
  <c r="E934" i="1"/>
  <c r="E933" i="1"/>
  <c r="E932" i="1"/>
  <c r="E931" i="1"/>
  <c r="E930" i="1"/>
  <c r="E929" i="1"/>
  <c r="G921" i="1"/>
  <c r="E927" i="1"/>
  <c r="E926" i="1"/>
  <c r="F926" i="1" s="1"/>
  <c r="E924" i="1"/>
  <c r="E923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 s="1"/>
  <c r="H883" i="1"/>
  <c r="E888" i="1"/>
  <c r="F888" i="1" s="1"/>
  <c r="E886" i="1"/>
  <c r="E885" i="1"/>
  <c r="E883" i="1"/>
  <c r="E882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03" i="1"/>
  <c r="H847" i="1"/>
  <c r="E825" i="1"/>
  <c r="E853" i="1"/>
  <c r="E851" i="1"/>
  <c r="E850" i="1"/>
  <c r="E848" i="1"/>
  <c r="E847" i="1"/>
  <c r="E817" i="1"/>
  <c r="F817" i="1" s="1"/>
  <c r="E815" i="1"/>
  <c r="E814" i="1"/>
  <c r="F814" i="1" s="1"/>
  <c r="E812" i="1"/>
  <c r="E811" i="1"/>
  <c r="E808" i="1"/>
  <c r="E807" i="1"/>
  <c r="E806" i="1"/>
  <c r="E805" i="1"/>
  <c r="E804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26" i="1"/>
  <c r="E725" i="1"/>
  <c r="E724" i="1"/>
  <c r="H762" i="1"/>
  <c r="E783" i="1"/>
  <c r="E781" i="1"/>
  <c r="E780" i="1"/>
  <c r="E778" i="1"/>
  <c r="E777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B128" i="1"/>
  <c r="E149" i="1"/>
  <c r="E148" i="1"/>
  <c r="E146" i="1"/>
  <c r="E235" i="1"/>
  <c r="F235" i="1" s="1"/>
  <c r="E233" i="1"/>
  <c r="E232" i="1"/>
  <c r="E230" i="1"/>
  <c r="E229" i="1"/>
  <c r="E226" i="1"/>
  <c r="E225" i="1"/>
  <c r="E224" i="1"/>
  <c r="E223" i="1"/>
  <c r="E216" i="1"/>
  <c r="F216" i="1" s="1"/>
  <c r="E214" i="1"/>
  <c r="E213" i="1"/>
  <c r="E211" i="1"/>
  <c r="E210" i="1"/>
  <c r="E207" i="1"/>
  <c r="E206" i="1"/>
  <c r="E205" i="1"/>
  <c r="E204" i="1"/>
  <c r="E790" i="1" l="1"/>
  <c r="E761" i="1"/>
  <c r="E942" i="1"/>
  <c r="E824" i="1"/>
  <c r="E895" i="1"/>
  <c r="E203" i="1"/>
  <c r="E222" i="1"/>
  <c r="E912" i="1"/>
  <c r="F921" i="1" s="1"/>
  <c r="B895" i="1"/>
  <c r="B972" i="1" s="1"/>
  <c r="B974" i="1" s="1"/>
  <c r="F51" i="1"/>
  <c r="G52" i="1" s="1"/>
  <c r="F936" i="1"/>
  <c r="F880" i="1"/>
  <c r="H884" i="1" s="1"/>
  <c r="F845" i="1"/>
  <c r="G849" i="1" s="1"/>
  <c r="F809" i="1"/>
  <c r="G848" i="1" s="1"/>
  <c r="F774" i="1"/>
  <c r="G766" i="1" s="1"/>
  <c r="F207" i="1"/>
  <c r="G216" i="1" s="1"/>
  <c r="G163" i="1" s="1"/>
  <c r="F226" i="1"/>
  <c r="G235" i="1" s="1"/>
  <c r="G164" i="1" s="1"/>
  <c r="E176" i="1"/>
  <c r="E175" i="1"/>
  <c r="E174" i="1"/>
  <c r="E173" i="1"/>
  <c r="E172" i="1"/>
  <c r="E171" i="1"/>
  <c r="E170" i="1"/>
  <c r="E169" i="1"/>
  <c r="E168" i="1"/>
  <c r="E177" i="1"/>
  <c r="G651" i="1"/>
  <c r="E661" i="1"/>
  <c r="E755" i="1"/>
  <c r="E753" i="1"/>
  <c r="E752" i="1"/>
  <c r="F752" i="1" s="1"/>
  <c r="E750" i="1"/>
  <c r="E749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23" i="1"/>
  <c r="F726" i="1" s="1"/>
  <c r="E721" i="1"/>
  <c r="E720" i="1"/>
  <c r="E718" i="1"/>
  <c r="E717" i="1"/>
  <c r="E714" i="1"/>
  <c r="E697" i="1" s="1"/>
  <c r="E691" i="1"/>
  <c r="E689" i="1"/>
  <c r="E688" i="1"/>
  <c r="E686" i="1"/>
  <c r="E685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G618" i="1"/>
  <c r="E616" i="1"/>
  <c r="E660" i="1"/>
  <c r="E658" i="1"/>
  <c r="E657" i="1"/>
  <c r="E655" i="1"/>
  <c r="E654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6" i="1"/>
  <c r="E627" i="1"/>
  <c r="E625" i="1"/>
  <c r="E624" i="1"/>
  <c r="E589" i="1"/>
  <c r="E588" i="1"/>
  <c r="E587" i="1"/>
  <c r="E586" i="1"/>
  <c r="E585" i="1"/>
  <c r="E583" i="1"/>
  <c r="E581" i="1"/>
  <c r="E582" i="1"/>
  <c r="E580" i="1"/>
  <c r="E579" i="1"/>
  <c r="E617" i="1"/>
  <c r="E614" i="1"/>
  <c r="E613" i="1"/>
  <c r="E611" i="1"/>
  <c r="E610" i="1"/>
  <c r="E607" i="1"/>
  <c r="E606" i="1"/>
  <c r="E603" i="1"/>
  <c r="E602" i="1"/>
  <c r="E601" i="1"/>
  <c r="E600" i="1"/>
  <c r="E599" i="1"/>
  <c r="E597" i="1"/>
  <c r="E596" i="1"/>
  <c r="E595" i="1"/>
  <c r="E594" i="1"/>
  <c r="E593" i="1"/>
  <c r="E592" i="1"/>
  <c r="E584" i="1"/>
  <c r="E605" i="1"/>
  <c r="E604" i="1"/>
  <c r="E598" i="1"/>
  <c r="E591" i="1"/>
  <c r="E590" i="1"/>
  <c r="E572" i="1"/>
  <c r="E570" i="1"/>
  <c r="E569" i="1"/>
  <c r="E567" i="1"/>
  <c r="E566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8" i="1"/>
  <c r="E539" i="1"/>
  <c r="E537" i="1"/>
  <c r="E536" i="1"/>
  <c r="E519" i="1"/>
  <c r="E518" i="1"/>
  <c r="E517" i="1"/>
  <c r="E516" i="1"/>
  <c r="E515" i="1"/>
  <c r="E514" i="1"/>
  <c r="E513" i="1"/>
  <c r="E512" i="1"/>
  <c r="E511" i="1"/>
  <c r="E528" i="1"/>
  <c r="E526" i="1"/>
  <c r="E525" i="1"/>
  <c r="E523" i="1"/>
  <c r="E522" i="1"/>
  <c r="G505" i="1"/>
  <c r="E495" i="1"/>
  <c r="E494" i="1"/>
  <c r="E493" i="1"/>
  <c r="E492" i="1"/>
  <c r="E491" i="1"/>
  <c r="E490" i="1"/>
  <c r="E489" i="1"/>
  <c r="E488" i="1" s="1"/>
  <c r="E504" i="1"/>
  <c r="E502" i="1"/>
  <c r="E501" i="1"/>
  <c r="E499" i="1"/>
  <c r="E498" i="1"/>
  <c r="E472" i="1"/>
  <c r="E471" i="1"/>
  <c r="E470" i="1"/>
  <c r="E469" i="1"/>
  <c r="E468" i="1"/>
  <c r="E467" i="1"/>
  <c r="E466" i="1"/>
  <c r="E481" i="1"/>
  <c r="E479" i="1"/>
  <c r="E478" i="1"/>
  <c r="E476" i="1"/>
  <c r="E475" i="1"/>
  <c r="E450" i="1"/>
  <c r="E449" i="1"/>
  <c r="E448" i="1"/>
  <c r="E447" i="1"/>
  <c r="E446" i="1"/>
  <c r="E445" i="1"/>
  <c r="E444" i="1"/>
  <c r="E443" i="1"/>
  <c r="E442" i="1"/>
  <c r="E459" i="1"/>
  <c r="E457" i="1"/>
  <c r="E456" i="1"/>
  <c r="E454" i="1"/>
  <c r="E453" i="1"/>
  <c r="E426" i="1"/>
  <c r="E425" i="1"/>
  <c r="E424" i="1"/>
  <c r="E423" i="1"/>
  <c r="E422" i="1"/>
  <c r="E421" i="1"/>
  <c r="E420" i="1"/>
  <c r="E419" i="1"/>
  <c r="E435" i="1"/>
  <c r="E433" i="1"/>
  <c r="E432" i="1"/>
  <c r="E430" i="1"/>
  <c r="E429" i="1"/>
  <c r="E411" i="1"/>
  <c r="E409" i="1"/>
  <c r="E408" i="1"/>
  <c r="E406" i="1"/>
  <c r="E405" i="1"/>
  <c r="E402" i="1"/>
  <c r="E401" i="1"/>
  <c r="E400" i="1"/>
  <c r="E399" i="1"/>
  <c r="E398" i="1"/>
  <c r="E397" i="1"/>
  <c r="E389" i="1"/>
  <c r="E387" i="1"/>
  <c r="E386" i="1"/>
  <c r="E384" i="1"/>
  <c r="E383" i="1"/>
  <c r="E380" i="1"/>
  <c r="E379" i="1"/>
  <c r="E378" i="1"/>
  <c r="E377" i="1"/>
  <c r="E376" i="1"/>
  <c r="E375" i="1"/>
  <c r="E359" i="1"/>
  <c r="E358" i="1"/>
  <c r="E368" i="1"/>
  <c r="E366" i="1"/>
  <c r="E365" i="1"/>
  <c r="F365" i="1" s="1"/>
  <c r="E363" i="1"/>
  <c r="E362" i="1"/>
  <c r="E350" i="1"/>
  <c r="E348" i="1"/>
  <c r="E347" i="1"/>
  <c r="E345" i="1"/>
  <c r="E344" i="1"/>
  <c r="E341" i="1"/>
  <c r="E340" i="1"/>
  <c r="E339" i="1"/>
  <c r="E338" i="1"/>
  <c r="E337" i="1"/>
  <c r="E336" i="1"/>
  <c r="E335" i="1"/>
  <c r="E334" i="1"/>
  <c r="E326" i="1"/>
  <c r="E324" i="1"/>
  <c r="E323" i="1"/>
  <c r="F323" i="1" s="1"/>
  <c r="E321" i="1"/>
  <c r="E320" i="1"/>
  <c r="E317" i="1"/>
  <c r="E316" i="1"/>
  <c r="E315" i="1"/>
  <c r="E314" i="1"/>
  <c r="E313" i="1"/>
  <c r="E312" i="1"/>
  <c r="E311" i="1"/>
  <c r="E310" i="1"/>
  <c r="E309" i="1"/>
  <c r="E303" i="1"/>
  <c r="E301" i="1"/>
  <c r="E300" i="1"/>
  <c r="E298" i="1"/>
  <c r="E297" i="1"/>
  <c r="E294" i="1"/>
  <c r="E293" i="1"/>
  <c r="E292" i="1"/>
  <c r="E291" i="1"/>
  <c r="E290" i="1"/>
  <c r="E289" i="1"/>
  <c r="E288" i="1"/>
  <c r="E287" i="1"/>
  <c r="E286" i="1"/>
  <c r="E285" i="1"/>
  <c r="E270" i="1"/>
  <c r="E269" i="1"/>
  <c r="E268" i="1"/>
  <c r="E267" i="1"/>
  <c r="E266" i="1"/>
  <c r="E265" i="1"/>
  <c r="E279" i="1"/>
  <c r="E277" i="1"/>
  <c r="E276" i="1"/>
  <c r="E274" i="1"/>
  <c r="E273" i="1"/>
  <c r="E250" i="1"/>
  <c r="E249" i="1"/>
  <c r="E248" i="1"/>
  <c r="E247" i="1"/>
  <c r="E246" i="1"/>
  <c r="E245" i="1"/>
  <c r="E244" i="1"/>
  <c r="E243" i="1"/>
  <c r="E185" i="1"/>
  <c r="E259" i="1"/>
  <c r="E257" i="1"/>
  <c r="E256" i="1"/>
  <c r="E254" i="1"/>
  <c r="E253" i="1"/>
  <c r="E188" i="1"/>
  <c r="E187" i="1"/>
  <c r="E186" i="1"/>
  <c r="E197" i="1"/>
  <c r="E195" i="1"/>
  <c r="E194" i="1"/>
  <c r="E192" i="1"/>
  <c r="E191" i="1"/>
  <c r="E623" i="1" l="1"/>
  <c r="E242" i="1"/>
  <c r="E333" i="1"/>
  <c r="E184" i="1"/>
  <c r="E418" i="1"/>
  <c r="E308" i="1"/>
  <c r="E357" i="1"/>
  <c r="E465" i="1"/>
  <c r="E667" i="1"/>
  <c r="E396" i="1"/>
  <c r="E284" i="1"/>
  <c r="E510" i="1"/>
  <c r="E374" i="1"/>
  <c r="E441" i="1"/>
  <c r="F450" i="1" s="1"/>
  <c r="E535" i="1"/>
  <c r="E733" i="1"/>
  <c r="E264" i="1"/>
  <c r="E578" i="1"/>
  <c r="F607" i="1" s="1"/>
  <c r="G922" i="1"/>
  <c r="G923" i="1" s="1"/>
  <c r="H849" i="1"/>
  <c r="H850" i="1" s="1"/>
  <c r="F188" i="1"/>
  <c r="G162" i="1" s="1"/>
  <c r="F682" i="1"/>
  <c r="G763" i="1" s="1"/>
  <c r="F746" i="1"/>
  <c r="G765" i="1" s="1"/>
  <c r="F661" i="1"/>
  <c r="F651" i="1" s="1"/>
  <c r="H651" i="1" s="1"/>
  <c r="F617" i="1"/>
  <c r="F563" i="1"/>
  <c r="F519" i="1"/>
  <c r="F359" i="1"/>
  <c r="F250" i="1"/>
  <c r="F341" i="1"/>
  <c r="F426" i="1"/>
  <c r="F317" i="1"/>
  <c r="F294" i="1"/>
  <c r="F270" i="1"/>
  <c r="F380" i="1"/>
  <c r="F402" i="1"/>
  <c r="F495" i="1"/>
  <c r="F472" i="1"/>
  <c r="E131" i="1"/>
  <c r="E134" i="1"/>
  <c r="E133" i="1"/>
  <c r="E158" i="1"/>
  <c r="E157" i="1"/>
  <c r="E156" i="1"/>
  <c r="E155" i="1"/>
  <c r="E154" i="1"/>
  <c r="E153" i="1"/>
  <c r="E152" i="1"/>
  <c r="E151" i="1"/>
  <c r="E150" i="1"/>
  <c r="E147" i="1"/>
  <c r="E145" i="1"/>
  <c r="E144" i="1"/>
  <c r="E143" i="1"/>
  <c r="E142" i="1"/>
  <c r="E141" i="1"/>
  <c r="E140" i="1"/>
  <c r="E139" i="1"/>
  <c r="E138" i="1"/>
  <c r="E137" i="1"/>
  <c r="E136" i="1"/>
  <c r="E135" i="1"/>
  <c r="E132" i="1"/>
  <c r="E130" i="1"/>
  <c r="E129" i="1"/>
  <c r="D90" i="1"/>
  <c r="D972" i="1" s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167" i="1"/>
  <c r="F177" i="1" s="1"/>
  <c r="E165" i="1"/>
  <c r="E164" i="1"/>
  <c r="E162" i="1"/>
  <c r="E161" i="1"/>
  <c r="E122" i="1"/>
  <c r="E120" i="1"/>
  <c r="E119" i="1"/>
  <c r="E117" i="1"/>
  <c r="E116" i="1"/>
  <c r="F159" i="1" l="1"/>
  <c r="G161" i="1"/>
  <c r="H165" i="1" s="1"/>
  <c r="E128" i="1"/>
  <c r="F618" i="1"/>
  <c r="F505" i="1"/>
  <c r="H505" i="1" s="1"/>
  <c r="E90" i="1"/>
  <c r="E85" i="1" l="1"/>
  <c r="E83" i="1"/>
  <c r="E82" i="1"/>
  <c r="E80" i="1"/>
  <c r="E79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 l="1"/>
  <c r="E972" i="1" s="1"/>
  <c r="F959" i="1"/>
  <c r="G961" i="1" s="1"/>
  <c r="G962" i="1" s="1"/>
  <c r="F715" i="1"/>
  <c r="G764" i="1" l="1"/>
  <c r="H766" i="1" s="1"/>
  <c r="H767" i="1" s="1"/>
  <c r="F769" i="3"/>
  <c r="B1047" i="3"/>
  <c r="E1060" i="3"/>
  <c r="B1135" i="3" l="1"/>
  <c r="B1137" i="3" s="1"/>
  <c r="E1047" i="3"/>
  <c r="E1135" i="3" s="1"/>
</calcChain>
</file>

<file path=xl/comments1.xml><?xml version="1.0" encoding="utf-8"?>
<comments xmlns="http://schemas.openxmlformats.org/spreadsheetml/2006/main">
  <authors>
    <author>SEDIF19</author>
  </authors>
  <commentList>
    <comment ref="C7" authorId="0" shapeId="0">
      <text>
        <r>
          <rPr>
            <b/>
            <sz val="9"/>
            <color indexed="81"/>
            <rFont val="Tahoma"/>
            <charset val="1"/>
          </rPr>
          <t>2231002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2223306</t>
        </r>
      </text>
    </comment>
    <comment ref="B286" authorId="0" shapeId="0">
      <text>
        <r>
          <rPr>
            <b/>
            <sz val="9"/>
            <color indexed="81"/>
            <rFont val="Tahoma"/>
            <family val="2"/>
          </rPr>
          <t>El presupuesto, esta asignado a coordinacion administrativa (en el reporte de R.F.)</t>
        </r>
      </text>
    </comment>
    <comment ref="B788" authorId="0" shapeId="0">
      <text>
        <r>
          <rPr>
            <b/>
            <sz val="9"/>
            <color indexed="81"/>
            <rFont val="Tahoma"/>
            <family val="2"/>
          </rPr>
          <t xml:space="preserve">El presupuesto esta asigando en eventos 
especiales
</t>
        </r>
      </text>
    </comment>
  </commentList>
</comments>
</file>

<file path=xl/sharedStrings.xml><?xml version="1.0" encoding="utf-8"?>
<sst xmlns="http://schemas.openxmlformats.org/spreadsheetml/2006/main" count="2443" uniqueCount="279">
  <si>
    <t>GESTION Y ATENCION CIUDADANA</t>
  </si>
  <si>
    <t>2111.- MATERIALES Y UTILES DE OFICINA</t>
  </si>
  <si>
    <t>2141.- MATERIAL  UTILES PARA PROCESAMAIENTO Y BIENES INFORMATICOS</t>
  </si>
  <si>
    <t>2161.- MATERIAL DE LIMPIEZA</t>
  </si>
  <si>
    <t>2142.-MATERIAL INF. DE ACTIV. CIENTIFICAS.</t>
  </si>
  <si>
    <t>TOTAL GLOBAL DE LA PARTIDA</t>
  </si>
  <si>
    <t>2213.-PRODUCTOS ALIMENTICIOS PARA EL PERSONAL EN LAS INSTALACIONES DE LAS DEPENDENCIAS Y ENTIDADES</t>
  </si>
  <si>
    <t>2411.-MATERIALES DE CONSTRUCCION.</t>
  </si>
  <si>
    <t>2471.-ESTRUCTURAS Y MANUFACTURAS.</t>
  </si>
  <si>
    <t>2491.-OTROS MATERIALES Y ARTÍCULOS DE CONSTRUCCIÓN Y REPARACIÓN.</t>
  </si>
  <si>
    <t>2611.- GASOLINA</t>
  </si>
  <si>
    <t>2711.- VESTUARIO.</t>
  </si>
  <si>
    <t>2911.-HERRAMIENTAS.</t>
  </si>
  <si>
    <t>2921.-REFACCIONES Y ACCESORIOS MENORES DE EDIFICIOS.</t>
  </si>
  <si>
    <t>2941.REFACCIONES Y ACCESORIOS PARA EQUIPO DE CÓMPUTO.</t>
  </si>
  <si>
    <t>FORTALECIMIENTO</t>
  </si>
  <si>
    <t>2121.-MATERIALES Y ÚTILES DE IMPRESIÓN Y REPRODUCCIÓN.</t>
  </si>
  <si>
    <t xml:space="preserve">2161.-MATERIAL DE LIMPIEZA </t>
  </si>
  <si>
    <t>2211.-PRODUCTOS ALIMENTICIOS.</t>
  </si>
  <si>
    <t>2215.-PRODUCTOS ALIMENTICIOS PARA EL PERSONAL DERIVADO DE ACTIVIDADES EXTRAORDINARIAS.</t>
  </si>
  <si>
    <t>2231.-UTENSILIOS PARA EL SERVICIO DE ALIMENTACIÓN</t>
  </si>
  <si>
    <t>2311.-MATERIAS PRIMAS DE PRODUCCIÓN.</t>
  </si>
  <si>
    <t>2381.-MERCANCÍAS ADQUIRIDAS PARA SU COMERCIALIZACIÓN</t>
  </si>
  <si>
    <t>2391-OTROS PRODUCTOS ADQUIRIDOS COMO MATERIA PRIMA</t>
  </si>
  <si>
    <r>
      <rPr>
        <b/>
        <sz val="6"/>
        <color theme="1"/>
        <rFont val="Arial"/>
        <family val="2"/>
      </rPr>
      <t>2411.-MATERIAL DE CONSTRUCCION</t>
    </r>
    <r>
      <rPr>
        <b/>
        <sz val="6"/>
        <color rgb="FFC00000"/>
        <rFont val="Arial"/>
        <family val="2"/>
      </rPr>
      <t>.</t>
    </r>
  </si>
  <si>
    <t xml:space="preserve">2461-MATERIAL ELÉCTRICO Y ELECTRÓNICO. </t>
  </si>
  <si>
    <t>2721.- PRENDAS DE PROTECCION PERSONAL.</t>
  </si>
  <si>
    <t>2941.-REFACCIONES Y ACCESORIOS PARA EQUIPO DE CÓMPUTO .</t>
  </si>
  <si>
    <t>2961.-REFACCIONES Y ACCESORIOS MENORES DE EQUIPO DE TRANSPORTE.</t>
  </si>
  <si>
    <t>COORDINACION ADMINISTRATIVA</t>
  </si>
  <si>
    <t>2215.-PRODUCTOS ALIMENTICIOS PARA EL PERSONAL DERIVADO DE ACTIVIDADES EXTRAORDINARIAS</t>
  </si>
  <si>
    <t>2411.-MATERIALES DE CONSTRUCCIÓN.</t>
  </si>
  <si>
    <t>2461-MATERIAL ELECTRICO Y ELECTRONICO.</t>
  </si>
  <si>
    <r>
      <t>2541.-MATERIALES,  ACCESORIOS Y SUMINISTROS MÉDICOS</t>
    </r>
    <r>
      <rPr>
        <b/>
        <sz val="6"/>
        <color rgb="FFC00000"/>
        <rFont val="Arial"/>
        <family val="2"/>
      </rPr>
      <t>.</t>
    </r>
  </si>
  <si>
    <t>2941.-REFACCIONES Y ACCESORIOS PARA EQUIPO DE CÓMPUTO.</t>
  </si>
  <si>
    <t>2961.-REFACCIONES Y ACCESORIOS MENORES DE EQUIPO DE TRANSPORTE</t>
  </si>
  <si>
    <t>2991.-REFACCIONES Y ACCESORIOS MENORES OTROS BIENES MUEBLES</t>
  </si>
  <si>
    <t>TRANSPARENCIA</t>
  </si>
  <si>
    <t>GRUPOS VULNERABLES Y DESARROLLO FAMILIAR (DERECHOS DE LA NINEZ)</t>
  </si>
  <si>
    <t>2172.-MAT SUMINISTRO PLANTELES EDUC.</t>
  </si>
  <si>
    <t>2731.- ARTÍCULOS DEPORTIVOS.</t>
  </si>
  <si>
    <t>GRUPOS VULNERABLES Y DESARROLLO FAMILIAR (MIGRACION INFANTIL NO ACOMPAÑADA)</t>
  </si>
  <si>
    <t>GRUPOS VULNERABLES Y DESARROLLO INFANTIL (CAIC´S)</t>
  </si>
  <si>
    <t>GRUPOS VULNERABLES Y DESARROLLO INFANTIL (PREVENCION DEL TRABAJO)</t>
  </si>
  <si>
    <t>GRUPOS VULNERABLES Y DESARROLLO INFANTIL (CONCURSOS INFANTILES)</t>
  </si>
  <si>
    <t>GRUPOS VULNERABLES Y DESARROLLO INFANTIL (PREVENCION DE RIESGOS PSICOSOCIALES/ADICCIONES)</t>
  </si>
  <si>
    <t>GRUPOS VULNERABLES Y DESARROLLO INFANTIL (PREVENCION DE RIESGOS PSICOSOCIALES/EMBARAZO)</t>
  </si>
  <si>
    <t>GRUPOS VULNERABLES Y DESARROLLO INFANTIL (BUEN TRATO)</t>
  </si>
  <si>
    <t>GRUPOS VULNERABLES Y DESARROLLO INFANTIL (CAF)</t>
  </si>
  <si>
    <t>GRUPOS VULNERABLES Y DESARROLLO INFANTIL (ACOSO ESCOLAR)</t>
  </si>
  <si>
    <t>GRUPOS VULNERABLES Y DESARROLLO INFANTIL (ABUSO SEXUAL)</t>
  </si>
  <si>
    <t>GRUPOS VULNERABLES Y DESARROLLO INFANTIL (FORTALECIMIENTO DE VALORES Y VINCULO FAMILIAR PLAZA SESAMO)</t>
  </si>
  <si>
    <t>CASA CUNA PLACIDO DOMINGO</t>
  </si>
  <si>
    <t>2151.-MATERIAL INF. DE ACTIV. CIENTIFICAS.</t>
  </si>
  <si>
    <t>2171.-MATERIALES Y SUMINISTROS PARA PLANTELES EDUCATIVOS.</t>
  </si>
  <si>
    <t>2231.-PRODUCTOS ALIMENTICIOS PARA EL PERSONAL DERIVADO DE ACTIVIDADES EXTRAORDINARIAS.</t>
  </si>
  <si>
    <t>2441.-MADERA Y PRODUCTOS DE MADERA</t>
  </si>
  <si>
    <t>2451.-VIDRIO Y PRODUCTOS DE VIDRIO</t>
  </si>
  <si>
    <t>2461-MATERIAL ELECTRICO Y DE CONSTRUCCION.</t>
  </si>
  <si>
    <t>2481.-MATERIALES COMPLEMENTARIOS.</t>
  </si>
  <si>
    <t>2511.-SUSTANCIAS QUÍMICAS..</t>
  </si>
  <si>
    <t>2531.-MEDICINAS Y PRODUCTOS FARMACÉUTICOS</t>
  </si>
  <si>
    <t>2541.-MATERIALES,  ACCESORIOS Y SUMINISTROS MÉDICOS.</t>
  </si>
  <si>
    <t>2741.- PRODUCTOS TEXTILES.</t>
  </si>
  <si>
    <t>2751.- BLANCOS Y OTROS PRODUCTOS TEXTILES, EXCEPTO PRENDAS DE VESTIR.</t>
  </si>
  <si>
    <t>CASA HOGAR ZACATECAS</t>
  </si>
  <si>
    <t>2461.- MATERIAL ELECTRICO Y ELECTRONICO</t>
  </si>
  <si>
    <t>2471.- ESTRUCTURAS Y MANUFACTURAS</t>
  </si>
  <si>
    <t>2711.-VESTUARIO UNIFORMES Y BLANCOS</t>
  </si>
  <si>
    <t>2941.- REFACCIONES Y ACCESORIOS PARA EQUIPO DE COMPUTO</t>
  </si>
  <si>
    <t>2961.- REFACCIONES Y ACCESORIOS  MENORES DE EQUIPO DE TRANSPORTE</t>
  </si>
  <si>
    <t>2441.-MADERA Y PRODUCTOS DE MADERA.</t>
  </si>
  <si>
    <t>2481.-ESTRUCTURAS Y MANUFACTURAS.</t>
  </si>
  <si>
    <t>2511.-SUSTANCIAS QUÍMICAS.</t>
  </si>
  <si>
    <t>2531.-MEDICINAS Y PRODUCTOS FARMACÉUTICOS..</t>
  </si>
  <si>
    <t xml:space="preserve"> </t>
  </si>
  <si>
    <t>DEPARTAMENTO DE IMAGEN, RELACIONES PUBLICAS Y COMUNICACIÓN SOCIAL</t>
  </si>
  <si>
    <t>2411.- MATERIALES DE CONSTRUCCION</t>
  </si>
  <si>
    <t>2931.-REFACCIONES Y ACCESORIOS MENORES DE EDIFICIOS.</t>
  </si>
  <si>
    <t>PARQUE Y ZOOLOGICO LA ENCANTADA</t>
  </si>
  <si>
    <t>2481.-MATERIALES COMPLEMENTARIOS</t>
  </si>
  <si>
    <t>FERIAS DIFERENTES</t>
  </si>
  <si>
    <t>2751.- BLANCOS Y OTROS PRODUCTOS TEXTILES, EXCEPTO PRENDAS DE VESTIR</t>
  </si>
  <si>
    <t>2931.-REFACCIONES Y ACCESORIOS MENORES DE MOBILIARIO Y EQUIPO DE ADMINISTRACIÓN, EDUCACIONAL Y RECREATIVO.</t>
  </si>
  <si>
    <t xml:space="preserve">PROCURADURÌA DE PROTECCIÒN A NIÑA NIÑOS ADOLESCENTES Y FAMILIA </t>
  </si>
  <si>
    <t xml:space="preserve">2511.-SUSTANCIAS </t>
  </si>
  <si>
    <t xml:space="preserve">2931. REFACCIONES </t>
  </si>
  <si>
    <t>CAVIZ</t>
  </si>
  <si>
    <t>2231.-UTENSILIOS</t>
  </si>
  <si>
    <t>2931.-REFACCIONES</t>
  </si>
  <si>
    <t xml:space="preserve">CASA DE LATERCERA EDAD </t>
  </si>
  <si>
    <t>2511.-SUSTANCIAS</t>
  </si>
  <si>
    <t>2531.-MEDICIAS</t>
  </si>
  <si>
    <t>2721.- PRENDAS</t>
  </si>
  <si>
    <t>CREE</t>
  </si>
  <si>
    <t>2361.-PRODUCTOS</t>
  </si>
  <si>
    <t>2371.-PRODUCTOS</t>
  </si>
  <si>
    <t>2481.-MATERIAL DE CONSTRUCCION .</t>
  </si>
  <si>
    <t>2531.-MEDICINAS</t>
  </si>
  <si>
    <t>2541-MATERIALES</t>
  </si>
  <si>
    <t>2751.- BLANCOS</t>
  </si>
  <si>
    <t>AMEDIF</t>
  </si>
  <si>
    <t xml:space="preserve">2531.-MATERIALES </t>
  </si>
  <si>
    <t xml:space="preserve">ESTANCIA DE DIA CASA DEL ABUELO </t>
  </si>
  <si>
    <t>SISTEMA ESTATAL PARA EL DESARROLLO INTEGRAL DE LA FAMILIA</t>
  </si>
  <si>
    <t>PARTIDA</t>
  </si>
  <si>
    <t>PRESUPUESTO ESTATAL</t>
  </si>
  <si>
    <t>RECURSOS PROPIOS</t>
  </si>
  <si>
    <t>RECURSOS FEDERALES</t>
  </si>
  <si>
    <t>TOTAL GENERAL</t>
  </si>
  <si>
    <t>MATERIALES Y SUMINISTROS (CAPITULO 2000)</t>
  </si>
  <si>
    <t>SERVICIOS GENERALES (CAPITULO 3000)</t>
  </si>
  <si>
    <t>APOYOS, SUBSIDIOS Y TRANSFERENCIAS (CAPITULO 4000)</t>
  </si>
  <si>
    <t>BIENES MUEBLES INMUEBLES E INTANGIBLES (CAPITULO 5000)</t>
  </si>
  <si>
    <t xml:space="preserve">PROGRAMA ANUAL DE ADQUISICIONES </t>
  </si>
  <si>
    <t>EJERCICIO 2022</t>
  </si>
  <si>
    <t xml:space="preserve">2215.- PRODUCTOS 
ALIMENTICIOS PARA EL 
PERSONAL DERIVADO 
DE ACTIVIDADES 
EXTRAORDINARIAS. </t>
  </si>
  <si>
    <t>2142.- MATERIAL PARA 
INFORMACIÓN EN 
ACTIVIDADES DE 
INVESTIGACIÓN 
CIENTÍFICA Y 
TECNOLÓGICA.</t>
  </si>
  <si>
    <t>2614.- LUBRICANTES Y ADITIVOS</t>
  </si>
  <si>
    <t>2941.- REFACCIONES Y 
ACCESORIOS PARA 
EQUIPO DE CÓMPUTO.</t>
  </si>
  <si>
    <t>4411.- AYUDAS SOCIALES.</t>
  </si>
  <si>
    <t>4412.- AYUDA PARA PAGOS DE 
DEFUNCIÓN</t>
  </si>
  <si>
    <t>2019 Y 2021</t>
  </si>
  <si>
    <r>
      <rPr>
        <b/>
        <sz val="11"/>
        <color theme="1"/>
        <rFont val="Arial Black"/>
        <family val="2"/>
      </rPr>
      <t>GRUPOS</t>
    </r>
    <r>
      <rPr>
        <b/>
        <sz val="10"/>
        <color theme="1"/>
        <rFont val="Arial Black"/>
        <family val="2"/>
      </rPr>
      <t xml:space="preserve"> </t>
    </r>
    <r>
      <rPr>
        <sz val="10"/>
        <color theme="1"/>
        <rFont val="Arial Black"/>
        <family val="2"/>
      </rPr>
      <t>VULNERABLES Y DESARROLLO FAMILIAR (SALUD DEL NIÑO Y DE LA NIÑA)</t>
    </r>
  </si>
  <si>
    <t xml:space="preserve">4421.- AYUDAS PARA 
CAPACITACIÓN Y 
BECAS. </t>
  </si>
  <si>
    <t>2511.- SUSTANCIAS QUÍMICAS.</t>
  </si>
  <si>
    <t>5151.-</t>
  </si>
  <si>
    <t>5112.- EQUIPO DE 
ADMINISTRACIÓN</t>
  </si>
  <si>
    <t>5151.- BIENES INFORMÁTICOS</t>
  </si>
  <si>
    <t xml:space="preserve">  </t>
  </si>
  <si>
    <t xml:space="preserve">     </t>
  </si>
  <si>
    <t>5131.- BIENES ARTÍSTICOS Y 
CULTURALES</t>
  </si>
  <si>
    <t>solo coord</t>
  </si>
  <si>
    <t>5111.-MOBILIARIO</t>
  </si>
  <si>
    <t>5112.-EQUIPO DE 
ADMINISTRACIÓN</t>
  </si>
  <si>
    <t>5121.-MUEBLES, EXCEPTO DE 
OFICINA Y ESTANTERÍA</t>
  </si>
  <si>
    <t>5151.-BIENES INFORMÁTICOS.</t>
  </si>
  <si>
    <t>5211.-EQUIPO EDUCACIONAL 
Y RECREATIVO</t>
  </si>
  <si>
    <t>5231.-CÁMARAS 
FOTOGRÁFICAS Y DE 
VIDEO</t>
  </si>
  <si>
    <t>5621.-MAQUINARIA Y EQUIPO 
INDUSTRIAL</t>
  </si>
  <si>
    <t>5631.-MAQUINARIA Y EQUIPO 
DE CONSTRUCCIÓN.</t>
  </si>
  <si>
    <t>5651.-EQUIPOS Y APARATOS 
DE COMUNICACIONES Y 
TELECOMUNICACIONES.</t>
  </si>
  <si>
    <t xml:space="preserve">5661.-MAQUINARIA Y EQUIPO 
ELÉCTRICO Y 
ELECTRÓNICO. </t>
  </si>
  <si>
    <t xml:space="preserve">5671.- HERRAMIENTAS </t>
  </si>
  <si>
    <t>TECNOLOGIAS DE LA INFORMACION</t>
  </si>
  <si>
    <t>PLANEACION Y EVALUACION</t>
  </si>
  <si>
    <t>TEC</t>
  </si>
  <si>
    <t>TRANS</t>
  </si>
  <si>
    <t>COORD</t>
  </si>
  <si>
    <t>PLANEAC</t>
  </si>
  <si>
    <t>FORT</t>
  </si>
  <si>
    <t>EVENTOS ESPECIALES</t>
  </si>
  <si>
    <t>COMUN S</t>
  </si>
  <si>
    <t>ZOOL</t>
  </si>
  <si>
    <t>FERIAS D</t>
  </si>
  <si>
    <t>EVENTOS</t>
  </si>
  <si>
    <t>2221.-PRODUCTOS ALIMENTICIOS PARA ANIMALES</t>
  </si>
  <si>
    <t>4411.- AYUDAS SOCIALES</t>
  </si>
  <si>
    <t>PROCU</t>
  </si>
  <si>
    <t>ALIMENTACION Y DESARROLLO COMUNITARIO</t>
  </si>
  <si>
    <t>DESAYUNOS ESCOLARES MODALIDAD FRIO</t>
  </si>
  <si>
    <t>DESAYUNOS ESCOLARES MODALIDAD CALIENTE</t>
  </si>
  <si>
    <t>2172.-OTROS MATERIALES Y 
SUMINISTROS PARA 
CURSOS Y TALLERES</t>
  </si>
  <si>
    <t>5311.-EQUIPO MÉDICO Y DE 
LABORATORIO</t>
  </si>
  <si>
    <r>
      <rPr>
        <sz val="6"/>
        <color theme="1"/>
        <rFont val="Arial"/>
        <family val="2"/>
      </rPr>
      <t>2961.-REFACCIONES Y ACCESORIOS MENORES DE EQUIPO DE TRANSPORTE</t>
    </r>
    <r>
      <rPr>
        <sz val="6"/>
        <color rgb="FFC00000"/>
        <rFont val="Arial"/>
        <family val="2"/>
      </rPr>
      <t xml:space="preserve"> </t>
    </r>
  </si>
  <si>
    <t>2541.-MATERIALES, 
ACCESORIOS Y 
SUMINISTROS 
MÉDICOS.</t>
  </si>
  <si>
    <t>2151.-MATERIAL IMPRESO E 
INFORMACIÓN DIGITAL</t>
  </si>
  <si>
    <t>2481.-MATERIALES 
COMPLEMENTARIOS.</t>
  </si>
  <si>
    <t>2531.-MEDICINAS Y 
PRODUCTOS 
FARMACÉUTICOS</t>
  </si>
  <si>
    <r>
      <rPr>
        <sz val="6"/>
        <color theme="1"/>
        <rFont val="Arial"/>
        <family val="2"/>
      </rPr>
      <t>2381.-MERCANCÍAS ADQUIRIDAS PARA SU COMERCIALIZACIÓN</t>
    </r>
    <r>
      <rPr>
        <sz val="6"/>
        <color rgb="FFC00000"/>
        <rFont val="Arial"/>
        <family val="2"/>
      </rPr>
      <t xml:space="preserve"> </t>
    </r>
  </si>
  <si>
    <r>
      <t>2541.-MATERIALES,  ACCESORIOS Y SUMINISTROS MÉDICOS</t>
    </r>
    <r>
      <rPr>
        <sz val="6"/>
        <color rgb="FFC00000"/>
        <rFont val="Arial"/>
        <family val="2"/>
      </rPr>
      <t>.</t>
    </r>
  </si>
  <si>
    <r>
      <rPr>
        <sz val="6"/>
        <color theme="1"/>
        <rFont val="Arial"/>
        <family val="2"/>
      </rPr>
      <t>2961.-REFACCIONES Y ACCESORIOS MENORES DE EQUIPO DE TRANSPORTE</t>
    </r>
    <r>
      <rPr>
        <sz val="6"/>
        <color rgb="FFC00000"/>
        <rFont val="Arial"/>
        <family val="2"/>
      </rPr>
      <t>.</t>
    </r>
  </si>
  <si>
    <r>
      <t>2941.-REFACCIONES Y ACCESORIOS PARA EQUIPO DE CÓMPUT</t>
    </r>
    <r>
      <rPr>
        <sz val="6"/>
        <color rgb="FFC00000"/>
        <rFont val="Arial"/>
        <family val="2"/>
      </rPr>
      <t>O</t>
    </r>
    <r>
      <rPr>
        <sz val="6"/>
        <color theme="1"/>
        <rFont val="Arial"/>
        <family val="2"/>
      </rPr>
      <t>.</t>
    </r>
  </si>
  <si>
    <t>2161.-MATERIAL DE LIMPIEZA</t>
  </si>
  <si>
    <t>2213.-PRODUCTOS 
ALIMENTICIOS PARA EL 
PERSONAL EN LAS 
INSTALACIONES DE LAS 
DEPENDENCIAS Y 
ENTIDADES</t>
  </si>
  <si>
    <t>2471.-ARTÍCULOS METÁLICOS 
PARA LA 
CONSTRUCCIÓN</t>
  </si>
  <si>
    <t>2491.-OTROS MATERIALES Y 
ARTÍCULOS DE 
CONSTRUCCIÓN Y 
REPARACIÓN</t>
  </si>
  <si>
    <t>2961.- REFACCIONES Y 
ACCESORIOS MENORES 
DE EQUIPO DE 
TRANSPORTE</t>
  </si>
  <si>
    <t>5131.-BIENES ARTÍSTICOS Y 
CULTURALES</t>
  </si>
  <si>
    <t>5411.-VEHÍCULOS Y EQUIPO 
TERRESTRE</t>
  </si>
  <si>
    <t>5421.-CARROCERÍAS Y 
REMOLQUES</t>
  </si>
  <si>
    <t>2711.-VESTUARIO</t>
  </si>
  <si>
    <t>Lo de ferias Diferentes</t>
  </si>
  <si>
    <t>CANASTA BASICA</t>
  </si>
  <si>
    <t>PRIMEROS 1000 DIAS DE VIDA</t>
  </si>
  <si>
    <t>SALUD Y BIENESTAR COMUNITARIO</t>
  </si>
  <si>
    <t>DESPENSAS ATENCION PRIORITARIA</t>
  </si>
  <si>
    <t xml:space="preserve">DESPENSAS   </t>
  </si>
  <si>
    <t>EJERCIDO CAP 2000, 4000 Y 5000 DEL EJERCICIO 2019</t>
  </si>
  <si>
    <t xml:space="preserve">TOTAL 2022 </t>
  </si>
  <si>
    <t>4113.-</t>
  </si>
  <si>
    <t>4112.- TRANSFERENVCIAS PARA MATERIALES Y SUM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</si>
  <si>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</si>
  <si>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</si>
  <si>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</si>
  <si>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</si>
  <si>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</si>
  <si>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</si>
  <si>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</si>
  <si>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</si>
  <si>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</si>
  <si>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</si>
  <si>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</si>
  <si>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</si>
  <si>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2491.-</t>
  </si>
  <si>
    <t>4411.- AYUDAS SOCIALES. IMPLEMENTACION DE PROYECTOS</t>
  </si>
  <si>
    <t>2491.-OTROS MATERIALES Y ARTÍCULOS DE CONSTRUCCIÓN Y REPARACIÓN</t>
  </si>
  <si>
    <t xml:space="preserve">4113.-TRANSFERENCIAS AL PODER EJECUTIVO PARA SERVICIOS GENERALES. </t>
  </si>
  <si>
    <t xml:space="preserve">CANASTA BASICA </t>
  </si>
  <si>
    <t>INTEGRACION DE PADRON DE BENEFICIARIOS</t>
  </si>
  <si>
    <t>4341.-  SUBSIDIOS A LA PRESTACIÓN DE SERVICIOS PÚBLICOS (PARA SUFICIENCIA)</t>
  </si>
  <si>
    <t>APOYO A VIUDAS Y VIUDOS POR COVID-19</t>
  </si>
  <si>
    <t>4154.- TRANSFERENCIAS A ENTIDADES PARAESTATALES NO EMPRESARIALES Y NO FINANCIERAS PARA SUBSIDIOS Y AYUDAS SOCIALES</t>
  </si>
  <si>
    <t>2 - Distribución de sillas de ruedas, andadores, bastones y muletas a población vulnerables</t>
  </si>
  <si>
    <t>3 - Control de la entrega de formula láctea niñas y niños</t>
  </si>
  <si>
    <t>4 - Control de entrega de pañales a niñas, niños y adultos mayores</t>
  </si>
  <si>
    <t>5 - Distribución de bicicletas a población vulnerable en coordinación con Fundación TELMEX (programa "Ayúdame a llegar a mi escuela")</t>
  </si>
  <si>
    <t>6 - Distribución de donativos  económicos a población vulnerables  (NNA PSD)</t>
  </si>
  <si>
    <t>7 - Distribución de productos alimenticios de acuerdo a la solicitud de la población vulnerable</t>
  </si>
  <si>
    <t>8 - Entrega de lentes a estudiantes de primaria, secundaria, preparatoria (Ver bien para aprender mejor)</t>
  </si>
  <si>
    <t>9 - Entrega de lentes a adultos (Presbicia o vista cansada)</t>
  </si>
  <si>
    <t>10 - Entrega de auxiliares  auditivos</t>
  </si>
  <si>
    <t>11 - Prótesis y órtesis</t>
  </si>
  <si>
    <t>4412.-  AYUDA PARA PAGO DE DEFUNCIONES</t>
  </si>
  <si>
    <t>2213.-</t>
  </si>
  <si>
    <t>2481.-</t>
  </si>
  <si>
    <t>2961.-</t>
  </si>
  <si>
    <t>2731.-</t>
  </si>
  <si>
    <t>2541.-</t>
  </si>
  <si>
    <t>2161.-</t>
  </si>
  <si>
    <t>2521.-</t>
  </si>
  <si>
    <t>2614.-</t>
  </si>
  <si>
    <t>2821.-</t>
  </si>
  <si>
    <t>2172.-</t>
  </si>
  <si>
    <t>2341.-</t>
  </si>
  <si>
    <t>AMSABI</t>
  </si>
  <si>
    <t>CASA AMOR CON AMOR SIN FRONTERAS</t>
  </si>
  <si>
    <t>4112.-</t>
  </si>
  <si>
    <t>4114.-</t>
  </si>
  <si>
    <t>4115.-</t>
  </si>
  <si>
    <t>2461.-</t>
  </si>
  <si>
    <t>2141.-</t>
  </si>
  <si>
    <t>GRUPOS VULNERABLES Y DESARROLLO INFANTIL (PREVENIR EL EMBARAZO EN EL CENTRO VALE LA PENA ESPERAR)</t>
  </si>
  <si>
    <t>2941.-</t>
  </si>
  <si>
    <t>2231.-</t>
  </si>
  <si>
    <t>2411.-</t>
  </si>
  <si>
    <t>2471.-</t>
  </si>
  <si>
    <t>2531.-</t>
  </si>
  <si>
    <t>2931.-</t>
  </si>
  <si>
    <t>2211.-</t>
  </si>
  <si>
    <t>2511.-</t>
  </si>
  <si>
    <t>2721.-</t>
  </si>
  <si>
    <t>2911.-</t>
  </si>
  <si>
    <t>2991.-</t>
  </si>
  <si>
    <t>2171.-</t>
  </si>
  <si>
    <t>2621.-</t>
  </si>
  <si>
    <t>2615.-</t>
  </si>
  <si>
    <t>2921.-</t>
  </si>
  <si>
    <t>2981.-</t>
  </si>
  <si>
    <t>2215.-</t>
  </si>
  <si>
    <t>2421.-</t>
  </si>
  <si>
    <t>4411.- AYUDAS  SOCIALES</t>
  </si>
  <si>
    <t>2221.-</t>
  </si>
  <si>
    <t>2591.-</t>
  </si>
  <si>
    <t>2741.-</t>
  </si>
  <si>
    <t>2451.-</t>
  </si>
  <si>
    <t>4152.-</t>
  </si>
  <si>
    <t>4112.- TRANSFERENCIAS AL PODER EJECUTIVO PARA MATERIALES Y SUMINISTROS</t>
  </si>
  <si>
    <t xml:space="preserve">4116.- TRANSFERENCIAS AL PODER EJECUTIVO PARA OBRA PÚBLICA.  </t>
  </si>
  <si>
    <t>4341.-SUBSIDIOS A LA PRESTACIÓN DE SERVICIOS PÚBLICOS</t>
  </si>
  <si>
    <t>5641.-</t>
  </si>
  <si>
    <t>5211.-</t>
  </si>
  <si>
    <t>5311.-</t>
  </si>
  <si>
    <t>5621.-</t>
  </si>
  <si>
    <t>5691.-</t>
  </si>
  <si>
    <t>5671.-</t>
  </si>
  <si>
    <t>5111.-</t>
  </si>
  <si>
    <t>5112.-</t>
  </si>
  <si>
    <t>4411.- AYUDAS SOCIALES.(APOYOS INVERNALES)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</si>
</sst>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###"/>
    <numFmt numFmtId="166" formatCode="###0###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rgb="FFC00000"/>
      <name val="Arial"/>
      <family val="2"/>
    </font>
    <font>
      <sz val="6"/>
      <color rgb="FFC00000"/>
      <name val="Arial"/>
      <family val="2"/>
    </font>
    <font>
      <sz val="11"/>
      <color theme="1"/>
      <name val="Arial Black"/>
      <family val="2"/>
    </font>
    <font>
      <sz val="6"/>
      <color theme="1"/>
      <name val="Arial Black"/>
      <family val="2"/>
    </font>
    <font>
      <sz val="11"/>
      <name val="Arial Black"/>
      <family val="2"/>
    </font>
    <font>
      <b/>
      <sz val="6"/>
      <color rgb="FFFF0000"/>
      <name val="Arial"/>
      <family val="2"/>
    </font>
    <font>
      <sz val="6"/>
      <color rgb="FFFF0000"/>
      <name val="Arial"/>
      <family val="2"/>
    </font>
    <font>
      <sz val="6"/>
      <color theme="0"/>
      <name val="Arial"/>
      <family val="2"/>
    </font>
    <font>
      <sz val="8"/>
      <color theme="1"/>
      <name val="Arial Black"/>
      <family val="2"/>
    </font>
    <font>
      <sz val="9"/>
      <color theme="1"/>
      <name val="Arial Black"/>
      <family val="2"/>
    </font>
    <font>
      <sz val="10"/>
      <color theme="1"/>
      <name val="Arial Black"/>
      <family val="2"/>
    </font>
    <font>
      <sz val="10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0"/>
      <color theme="1"/>
      <name val="Arial Black"/>
      <family val="2"/>
    </font>
    <font>
      <b/>
      <sz val="12"/>
      <color theme="1"/>
      <name val="Arial Black"/>
      <family val="2"/>
    </font>
    <font>
      <sz val="7"/>
      <color indexed="8"/>
      <name val="Arial Unicode MS"/>
      <family val="2"/>
    </font>
    <font>
      <b/>
      <sz val="9"/>
      <color theme="1"/>
      <name val="Arial Black"/>
      <family val="2"/>
    </font>
    <font>
      <sz val="7"/>
      <color rgb="FFFF0000"/>
      <name val="Arial Unicode MS"/>
      <family val="2"/>
    </font>
    <font>
      <sz val="7"/>
      <color indexed="8"/>
      <name val="Arial Unicode MS"/>
    </font>
    <font>
      <sz val="16"/>
      <color theme="1"/>
      <name val="Calibri"/>
      <family val="2"/>
      <scheme val="minor"/>
    </font>
    <font>
      <sz val="16"/>
      <color indexed="8"/>
      <name val="Arial Unicode MS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7"/>
      <color indexed="8"/>
      <name val="Arial"/>
      <family val="2"/>
    </font>
    <font>
      <b/>
      <sz val="9"/>
      <color indexed="81"/>
      <name val="Tahoma"/>
      <charset val="1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7"/>
      <color theme="1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EEEE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 applyAlignment="1">
      <alignment horizontal="center"/>
    </xf>
    <xf numFmtId="2" fontId="3" fillId="0" borderId="0" xfId="0" applyNumberFormat="1" applyFont="1"/>
    <xf numFmtId="2" fontId="4" fillId="0" borderId="0" xfId="0" applyNumberFormat="1" applyFont="1"/>
    <xf numFmtId="0" fontId="4" fillId="0" borderId="0" xfId="0" applyNumberFormat="1" applyFont="1"/>
    <xf numFmtId="0" fontId="7" fillId="0" borderId="0" xfId="2" applyNumberFormat="1" applyFont="1" applyBorder="1"/>
    <xf numFmtId="2" fontId="7" fillId="0" borderId="0" xfId="2" applyNumberFormat="1" applyFont="1" applyBorder="1"/>
    <xf numFmtId="2" fontId="6" fillId="0" borderId="0" xfId="2" applyNumberFormat="1" applyFont="1" applyBorder="1"/>
    <xf numFmtId="0" fontId="6" fillId="0" borderId="0" xfId="2" applyNumberFormat="1" applyFont="1" applyBorder="1"/>
    <xf numFmtId="2" fontId="4" fillId="0" borderId="0" xfId="0" applyNumberFormat="1" applyFont="1" applyBorder="1"/>
    <xf numFmtId="2" fontId="4" fillId="0" borderId="0" xfId="1" applyNumberFormat="1" applyFont="1"/>
    <xf numFmtId="0" fontId="4" fillId="0" borderId="0" xfId="0" applyNumberFormat="1" applyFont="1" applyBorder="1"/>
    <xf numFmtId="2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0" fillId="0" borderId="0" xfId="0" applyFill="1"/>
    <xf numFmtId="2" fontId="15" fillId="0" borderId="0" xfId="0" applyNumberFormat="1" applyFont="1" applyFill="1"/>
    <xf numFmtId="2" fontId="4" fillId="0" borderId="0" xfId="0" applyNumberFormat="1" applyFont="1" applyFill="1"/>
    <xf numFmtId="2" fontId="15" fillId="0" borderId="0" xfId="2" applyNumberFormat="1" applyFont="1" applyFill="1" applyBorder="1"/>
    <xf numFmtId="2" fontId="6" fillId="0" borderId="0" xfId="2" applyNumberFormat="1" applyFont="1" applyFill="1" applyBorder="1"/>
    <xf numFmtId="2" fontId="12" fillId="2" borderId="0" xfId="2" applyNumberFormat="1" applyFont="1" applyFill="1" applyAlignment="1">
      <alignment horizontal="center"/>
    </xf>
    <xf numFmtId="2" fontId="4" fillId="2" borderId="0" xfId="0" applyNumberFormat="1" applyFont="1" applyFill="1"/>
    <xf numFmtId="2" fontId="12" fillId="0" borderId="0" xfId="2" applyNumberFormat="1" applyFont="1" applyFill="1" applyAlignment="1">
      <alignment horizontal="center"/>
    </xf>
    <xf numFmtId="0" fontId="0" fillId="2" borderId="0" xfId="0" applyFill="1"/>
    <xf numFmtId="2" fontId="4" fillId="0" borderId="0" xfId="0" applyNumberFormat="1" applyFont="1" applyFill="1" applyBorder="1"/>
    <xf numFmtId="2" fontId="16" fillId="0" borderId="0" xfId="0" applyNumberFormat="1" applyFont="1" applyFill="1" applyBorder="1"/>
    <xf numFmtId="0" fontId="16" fillId="0" borderId="0" xfId="0" applyFont="1" applyFill="1"/>
    <xf numFmtId="44" fontId="4" fillId="0" borderId="0" xfId="0" applyNumberFormat="1" applyFont="1" applyBorder="1"/>
    <xf numFmtId="44" fontId="3" fillId="0" borderId="2" xfId="0" applyNumberFormat="1" applyFont="1" applyBorder="1"/>
    <xf numFmtId="44" fontId="3" fillId="0" borderId="0" xfId="0" applyNumberFormat="1" applyFont="1" applyBorder="1"/>
    <xf numFmtId="44" fontId="0" fillId="0" borderId="0" xfId="0" applyNumberFormat="1"/>
    <xf numFmtId="44" fontId="0" fillId="2" borderId="0" xfId="0" applyNumberFormat="1" applyFill="1"/>
    <xf numFmtId="44" fontId="6" fillId="0" borderId="0" xfId="2" applyNumberFormat="1" applyFont="1" applyBorder="1"/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center" vertical="center"/>
    </xf>
    <xf numFmtId="2" fontId="10" fillId="0" borderId="0" xfId="0" applyNumberFormat="1" applyFont="1" applyBorder="1" applyAlignment="1">
      <alignment horizontal="left"/>
    </xf>
    <xf numFmtId="0" fontId="2" fillId="0" borderId="0" xfId="0" applyFont="1" applyFill="1" applyAlignment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21" fillId="4" borderId="0" xfId="0" applyNumberFormat="1" applyFont="1" applyFill="1" applyAlignment="1">
      <alignment horizontal="center" vertical="center" wrapText="1"/>
    </xf>
    <xf numFmtId="4" fontId="4" fillId="0" borderId="0" xfId="0" applyNumberFormat="1" applyFont="1"/>
    <xf numFmtId="4" fontId="4" fillId="0" borderId="0" xfId="0" applyNumberFormat="1" applyFont="1" applyBorder="1"/>
    <xf numFmtId="4" fontId="11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2" fillId="0" borderId="0" xfId="2" applyNumberFormat="1" applyFont="1" applyFill="1" applyAlignment="1">
      <alignment horizontal="center"/>
    </xf>
    <xf numFmtId="4" fontId="0" fillId="2" borderId="0" xfId="0" applyNumberFormat="1" applyFill="1"/>
    <xf numFmtId="4" fontId="12" fillId="2" borderId="0" xfId="2" applyNumberFormat="1" applyFont="1" applyFill="1" applyAlignment="1">
      <alignment horizontal="center"/>
    </xf>
    <xf numFmtId="4" fontId="16" fillId="0" borderId="0" xfId="0" applyNumberFormat="1" applyFont="1" applyFill="1"/>
    <xf numFmtId="4" fontId="6" fillId="0" borderId="0" xfId="2" applyNumberFormat="1" applyFont="1" applyBorder="1"/>
    <xf numFmtId="4" fontId="4" fillId="0" borderId="0" xfId="0" applyNumberFormat="1" applyFont="1" applyFill="1"/>
    <xf numFmtId="4" fontId="4" fillId="0" borderId="0" xfId="0" applyNumberFormat="1" applyFont="1" applyFill="1" applyBorder="1"/>
    <xf numFmtId="4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Border="1"/>
    <xf numFmtId="4" fontId="6" fillId="0" borderId="1" xfId="2" applyNumberFormat="1" applyFont="1" applyBorder="1"/>
    <xf numFmtId="4" fontId="6" fillId="2" borderId="1" xfId="2" applyNumberFormat="1" applyFont="1" applyFill="1" applyBorder="1"/>
    <xf numFmtId="2" fontId="3" fillId="0" borderId="1" xfId="0" applyNumberFormat="1" applyFont="1" applyBorder="1" applyAlignment="1">
      <alignment horizontal="left" vertical="center"/>
    </xf>
    <xf numFmtId="44" fontId="6" fillId="0" borderId="4" xfId="2" applyNumberFormat="1" applyFont="1" applyBorder="1"/>
    <xf numFmtId="44" fontId="3" fillId="0" borderId="5" xfId="0" applyNumberFormat="1" applyFont="1" applyBorder="1"/>
    <xf numFmtId="2" fontId="3" fillId="0" borderId="1" xfId="0" applyNumberFormat="1" applyFont="1" applyBorder="1"/>
    <xf numFmtId="4" fontId="4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left"/>
    </xf>
    <xf numFmtId="165" fontId="23" fillId="0" borderId="1" xfId="0" applyNumberFormat="1" applyFont="1" applyFill="1" applyBorder="1" applyAlignment="1" applyProtection="1">
      <alignment horizontal="right" vertical="top" wrapText="1" readingOrder="1"/>
    </xf>
    <xf numFmtId="2" fontId="8" fillId="0" borderId="1" xfId="0" applyNumberFormat="1" applyFont="1" applyBorder="1"/>
    <xf numFmtId="4" fontId="9" fillId="0" borderId="1" xfId="0" applyNumberFormat="1" applyFont="1" applyBorder="1"/>
    <xf numFmtId="2" fontId="11" fillId="0" borderId="0" xfId="0" applyNumberFormat="1" applyFont="1" applyFill="1" applyBorder="1" applyAlignment="1"/>
    <xf numFmtId="4" fontId="6" fillId="0" borderId="4" xfId="2" applyNumberFormat="1" applyFont="1" applyBorder="1"/>
    <xf numFmtId="4" fontId="3" fillId="0" borderId="5" xfId="0" applyNumberFormat="1" applyFont="1" applyBorder="1"/>
    <xf numFmtId="4" fontId="3" fillId="0" borderId="1" xfId="0" applyNumberFormat="1" applyFont="1" applyBorder="1"/>
    <xf numFmtId="2" fontId="3" fillId="0" borderId="1" xfId="0" applyNumberFormat="1" applyFont="1" applyBorder="1" applyAlignment="1">
      <alignment vertical="center"/>
    </xf>
    <xf numFmtId="2" fontId="10" fillId="0" borderId="0" xfId="0" applyNumberFormat="1" applyFont="1" applyFill="1" applyBorder="1" applyAlignment="1"/>
    <xf numFmtId="4" fontId="4" fillId="0" borderId="6" xfId="0" applyNumberFormat="1" applyFont="1" applyBorder="1"/>
    <xf numFmtId="4" fontId="24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left"/>
    </xf>
    <xf numFmtId="4" fontId="13" fillId="0" borderId="1" xfId="0" applyNumberFormat="1" applyFont="1" applyBorder="1"/>
    <xf numFmtId="165" fontId="25" fillId="0" borderId="0" xfId="0" applyNumberFormat="1" applyFont="1" applyFill="1" applyBorder="1" applyAlignment="1" applyProtection="1">
      <alignment horizontal="right" vertical="top" wrapText="1" readingOrder="1"/>
    </xf>
    <xf numFmtId="0" fontId="18" fillId="0" borderId="0" xfId="0" applyFont="1" applyFill="1"/>
    <xf numFmtId="0" fontId="19" fillId="0" borderId="0" xfId="0" applyFont="1" applyFill="1"/>
    <xf numFmtId="4" fontId="4" fillId="0" borderId="1" xfId="0" applyNumberFormat="1" applyFont="1" applyBorder="1" applyAlignment="1">
      <alignment horizontal="right"/>
    </xf>
    <xf numFmtId="0" fontId="17" fillId="0" borderId="0" xfId="0" applyFont="1" applyFill="1"/>
    <xf numFmtId="0" fontId="20" fillId="0" borderId="0" xfId="0" applyFont="1" applyFill="1"/>
    <xf numFmtId="0" fontId="10" fillId="0" borderId="0" xfId="0" applyFont="1" applyFill="1"/>
    <xf numFmtId="4" fontId="14" fillId="0" borderId="1" xfId="0" applyNumberFormat="1" applyFont="1" applyBorder="1"/>
    <xf numFmtId="0" fontId="16" fillId="0" borderId="0" xfId="0" applyFont="1" applyFill="1" applyAlignment="1">
      <alignment wrapText="1"/>
    </xf>
    <xf numFmtId="0" fontId="17" fillId="0" borderId="0" xfId="0" applyFont="1" applyFill="1" applyAlignment="1"/>
    <xf numFmtId="0" fontId="10" fillId="0" borderId="0" xfId="0" applyFont="1" applyFill="1" applyAlignment="1"/>
    <xf numFmtId="2" fontId="18" fillId="0" borderId="0" xfId="0" applyNumberFormat="1" applyFont="1" applyFill="1" applyBorder="1" applyAlignment="1"/>
    <xf numFmtId="0" fontId="4" fillId="0" borderId="0" xfId="0" applyNumberFormat="1" applyFont="1" applyFill="1"/>
    <xf numFmtId="2" fontId="4" fillId="0" borderId="1" xfId="0" applyNumberFormat="1" applyFont="1" applyBorder="1" applyAlignment="1">
      <alignment horizontal="left" vertical="center"/>
    </xf>
    <xf numFmtId="4" fontId="3" fillId="0" borderId="1" xfId="0" applyNumberFormat="1" applyFont="1" applyFill="1" applyBorder="1"/>
    <xf numFmtId="4" fontId="4" fillId="0" borderId="3" xfId="0" applyNumberFormat="1" applyFont="1" applyBorder="1"/>
    <xf numFmtId="4" fontId="3" fillId="0" borderId="0" xfId="0" applyNumberFormat="1" applyFont="1" applyFill="1" applyBorder="1"/>
    <xf numFmtId="0" fontId="0" fillId="0" borderId="0" xfId="0" applyFill="1" applyBorder="1"/>
    <xf numFmtId="2" fontId="4" fillId="0" borderId="1" xfId="0" applyNumberFormat="1" applyFont="1" applyBorder="1" applyAlignment="1"/>
    <xf numFmtId="165" fontId="23" fillId="0" borderId="0" xfId="0" applyNumberFormat="1" applyFont="1" applyFill="1" applyBorder="1" applyAlignment="1" applyProtection="1">
      <alignment horizontal="right" vertical="top" wrapText="1" readingOrder="1"/>
    </xf>
    <xf numFmtId="43" fontId="0" fillId="0" borderId="0" xfId="3" applyFont="1"/>
    <xf numFmtId="165" fontId="26" fillId="0" borderId="0" xfId="0" applyNumberFormat="1" applyFont="1" applyFill="1" applyBorder="1" applyAlignment="1" applyProtection="1">
      <alignment horizontal="right" vertical="top" wrapText="1" readingOrder="1"/>
    </xf>
    <xf numFmtId="4" fontId="4" fillId="0" borderId="1" xfId="0" applyNumberFormat="1" applyFont="1" applyFill="1" applyBorder="1"/>
    <xf numFmtId="4" fontId="6" fillId="0" borderId="1" xfId="2" applyNumberFormat="1" applyFont="1" applyFill="1" applyBorder="1"/>
    <xf numFmtId="165" fontId="26" fillId="0" borderId="1" xfId="0" applyNumberFormat="1" applyFont="1" applyFill="1" applyBorder="1" applyAlignment="1" applyProtection="1">
      <alignment horizontal="right" vertical="top" wrapText="1" readingOrder="1"/>
    </xf>
    <xf numFmtId="4" fontId="9" fillId="0" borderId="1" xfId="0" applyNumberFormat="1" applyFont="1" applyFill="1" applyBorder="1"/>
    <xf numFmtId="0" fontId="27" fillId="0" borderId="0" xfId="0" applyFont="1"/>
    <xf numFmtId="166" fontId="28" fillId="5" borderId="0" xfId="0" applyNumberFormat="1" applyFont="1" applyFill="1" applyBorder="1" applyAlignment="1" applyProtection="1">
      <alignment horizontal="center" vertical="top" wrapText="1" readingOrder="1"/>
    </xf>
    <xf numFmtId="0" fontId="28" fillId="5" borderId="0" xfId="0" applyNumberFormat="1" applyFont="1" applyFill="1" applyBorder="1" applyAlignment="1" applyProtection="1">
      <alignment horizontal="right" vertical="top" wrapText="1" readingOrder="1"/>
    </xf>
    <xf numFmtId="166" fontId="28" fillId="0" borderId="0" xfId="0" applyNumberFormat="1" applyFont="1" applyFill="1" applyBorder="1" applyAlignment="1" applyProtection="1">
      <alignment horizontal="center" vertical="top" wrapText="1" readingOrder="1"/>
    </xf>
    <xf numFmtId="0" fontId="28" fillId="0" borderId="0" xfId="0" applyNumberFormat="1" applyFont="1" applyFill="1" applyBorder="1" applyAlignment="1" applyProtection="1">
      <alignment horizontal="right" vertical="top" wrapText="1" readingOrder="1"/>
    </xf>
    <xf numFmtId="0" fontId="0" fillId="0" borderId="0" xfId="0" applyFont="1"/>
    <xf numFmtId="165" fontId="29" fillId="0" borderId="0" xfId="0" applyNumberFormat="1" applyFont="1" applyFill="1" applyBorder="1" applyAlignment="1" applyProtection="1">
      <alignment horizontal="right" vertical="top" wrapText="1" readingOrder="1"/>
    </xf>
    <xf numFmtId="0" fontId="30" fillId="0" borderId="0" xfId="0" applyFont="1" applyFill="1"/>
    <xf numFmtId="0" fontId="30" fillId="0" borderId="0" xfId="0" applyFont="1"/>
    <xf numFmtId="165" fontId="30" fillId="0" borderId="0" xfId="0" applyNumberFormat="1" applyFont="1"/>
    <xf numFmtId="165" fontId="31" fillId="0" borderId="1" xfId="0" applyNumberFormat="1" applyFont="1" applyFill="1" applyBorder="1" applyAlignment="1" applyProtection="1">
      <alignment horizontal="right" vertical="top" wrapText="1" readingOrder="1"/>
    </xf>
    <xf numFmtId="4" fontId="32" fillId="0" borderId="1" xfId="2" applyNumberFormat="1" applyFont="1" applyBorder="1"/>
    <xf numFmtId="4" fontId="33" fillId="0" borderId="1" xfId="0" applyNumberFormat="1" applyFont="1" applyBorder="1"/>
    <xf numFmtId="4" fontId="32" fillId="0" borderId="1" xfId="2" applyNumberFormat="1" applyFont="1" applyFill="1" applyBorder="1"/>
    <xf numFmtId="4" fontId="33" fillId="0" borderId="1" xfId="0" applyNumberFormat="1" applyFont="1" applyFill="1" applyBorder="1"/>
    <xf numFmtId="2" fontId="4" fillId="0" borderId="0" xfId="0" applyNumberFormat="1" applyFont="1" applyBorder="1" applyAlignment="1">
      <alignment horizontal="left"/>
    </xf>
    <xf numFmtId="0" fontId="21" fillId="4" borderId="0" xfId="0" applyFont="1" applyFill="1" applyAlignment="1">
      <alignment horizontal="left"/>
    </xf>
    <xf numFmtId="2" fontId="9" fillId="0" borderId="1" xfId="0" applyNumberFormat="1" applyFont="1" applyBorder="1"/>
    <xf numFmtId="2" fontId="14" fillId="0" borderId="1" xfId="0" applyNumberFormat="1" applyFont="1" applyBorder="1"/>
    <xf numFmtId="2" fontId="4" fillId="0" borderId="1" xfId="0" applyNumberFormat="1" applyFont="1" applyBorder="1" applyAlignment="1">
      <alignment vertical="center"/>
    </xf>
    <xf numFmtId="4" fontId="6" fillId="0" borderId="1" xfId="2" applyNumberFormat="1" applyFont="1" applyFill="1" applyBorder="1" applyAlignment="1"/>
    <xf numFmtId="4" fontId="4" fillId="0" borderId="1" xfId="0" applyNumberFormat="1" applyFont="1" applyFill="1" applyBorder="1" applyAlignment="1"/>
    <xf numFmtId="165" fontId="26" fillId="0" borderId="1" xfId="0" applyNumberFormat="1" applyFont="1" applyFill="1" applyBorder="1" applyAlignment="1" applyProtection="1">
      <alignment horizontal="right" wrapText="1" readingOrder="1"/>
    </xf>
    <xf numFmtId="165" fontId="23" fillId="0" borderId="1" xfId="0" applyNumberFormat="1" applyFont="1" applyFill="1" applyBorder="1" applyAlignment="1" applyProtection="1">
      <alignment horizontal="right" wrapText="1" readingOrder="1"/>
    </xf>
    <xf numFmtId="4" fontId="3" fillId="0" borderId="1" xfId="0" applyNumberFormat="1" applyFont="1" applyFill="1" applyBorder="1" applyAlignment="1">
      <alignment horizontal="right"/>
    </xf>
    <xf numFmtId="165" fontId="23" fillId="0" borderId="1" xfId="0" applyNumberFormat="1" applyFont="1" applyFill="1" applyBorder="1" applyAlignment="1" applyProtection="1">
      <alignment wrapText="1" readingOrder="1"/>
    </xf>
    <xf numFmtId="165" fontId="23" fillId="0" borderId="0" xfId="0" applyNumberFormat="1" applyFont="1" applyFill="1" applyBorder="1" applyAlignment="1" applyProtection="1">
      <alignment wrapText="1" readingOrder="1"/>
    </xf>
    <xf numFmtId="4" fontId="4" fillId="0" borderId="1" xfId="0" applyNumberFormat="1" applyFont="1" applyFill="1" applyBorder="1" applyAlignment="1">
      <alignment horizontal="right"/>
    </xf>
    <xf numFmtId="4" fontId="6" fillId="0" borderId="1" xfId="2" applyNumberFormat="1" applyFont="1" applyBorder="1" applyAlignment="1">
      <alignment horizontal="right"/>
    </xf>
    <xf numFmtId="4" fontId="6" fillId="0" borderId="1" xfId="2" applyNumberFormat="1" applyFont="1" applyFill="1" applyBorder="1" applyAlignment="1">
      <alignment horizontal="right"/>
    </xf>
    <xf numFmtId="165" fontId="31" fillId="0" borderId="1" xfId="0" applyNumberFormat="1" applyFont="1" applyFill="1" applyBorder="1" applyAlignment="1" applyProtection="1">
      <alignment horizontal="right" wrapText="1" readingOrder="1"/>
    </xf>
    <xf numFmtId="165" fontId="34" fillId="0" borderId="1" xfId="0" applyNumberFormat="1" applyFont="1" applyFill="1" applyBorder="1" applyAlignment="1" applyProtection="1">
      <alignment horizontal="right" wrapText="1" readingOrder="1"/>
    </xf>
    <xf numFmtId="165" fontId="34" fillId="0" borderId="1" xfId="0" applyNumberFormat="1" applyFont="1" applyFill="1" applyBorder="1" applyAlignment="1" applyProtection="1">
      <alignment horizontal="right" vertical="top" wrapText="1" readingOrder="1"/>
    </xf>
    <xf numFmtId="43" fontId="0" fillId="0" borderId="0" xfId="0" applyNumberFormat="1"/>
    <xf numFmtId="4" fontId="21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36" fillId="0" borderId="0" xfId="0" applyFont="1"/>
    <xf numFmtId="4" fontId="36" fillId="0" borderId="0" xfId="0" applyNumberFormat="1" applyFont="1"/>
    <xf numFmtId="0" fontId="36" fillId="0" borderId="0" xfId="0" applyNumberFormat="1" applyFont="1"/>
    <xf numFmtId="0" fontId="38" fillId="0" borderId="0" xfId="2" applyNumberFormat="1" applyFont="1" applyBorder="1"/>
    <xf numFmtId="0" fontId="36" fillId="0" borderId="0" xfId="0" applyFont="1" applyFill="1"/>
    <xf numFmtId="4" fontId="36" fillId="0" borderId="0" xfId="0" applyNumberFormat="1" applyFont="1" applyBorder="1"/>
    <xf numFmtId="2" fontId="38" fillId="0" borderId="0" xfId="2" applyNumberFormat="1" applyFont="1" applyFill="1" applyAlignment="1">
      <alignment horizontal="center"/>
    </xf>
    <xf numFmtId="0" fontId="36" fillId="2" borderId="0" xfId="0" applyFont="1" applyFill="1"/>
    <xf numFmtId="2" fontId="38" fillId="2" borderId="0" xfId="2" applyNumberFormat="1" applyFont="1" applyFill="1" applyAlignment="1">
      <alignment horizontal="center"/>
    </xf>
    <xf numFmtId="4" fontId="38" fillId="0" borderId="0" xfId="2" applyNumberFormat="1" applyFont="1" applyBorder="1"/>
    <xf numFmtId="0" fontId="36" fillId="0" borderId="0" xfId="0" applyNumberFormat="1" applyFont="1" applyBorder="1"/>
    <xf numFmtId="4" fontId="37" fillId="0" borderId="0" xfId="0" applyNumberFormat="1" applyFont="1" applyFill="1" applyAlignment="1"/>
    <xf numFmtId="4" fontId="37" fillId="0" borderId="0" xfId="0" applyNumberFormat="1" applyFont="1" applyAlignment="1">
      <alignment horizontal="center"/>
    </xf>
    <xf numFmtId="4" fontId="36" fillId="0" borderId="0" xfId="0" applyNumberFormat="1" applyFont="1" applyFill="1" applyBorder="1" applyAlignment="1"/>
    <xf numFmtId="4" fontId="36" fillId="0" borderId="0" xfId="0" applyNumberFormat="1" applyFont="1" applyFill="1" applyBorder="1" applyAlignment="1">
      <alignment horizontal="center"/>
    </xf>
    <xf numFmtId="4" fontId="36" fillId="0" borderId="0" xfId="0" applyNumberFormat="1" applyFont="1" applyFill="1"/>
    <xf numFmtId="4" fontId="39" fillId="0" borderId="0" xfId="2" applyNumberFormat="1" applyFont="1" applyBorder="1"/>
    <xf numFmtId="4" fontId="38" fillId="0" borderId="0" xfId="2" applyNumberFormat="1" applyFont="1" applyFill="1" applyAlignment="1">
      <alignment horizontal="center"/>
    </xf>
    <xf numFmtId="4" fontId="36" fillId="2" borderId="0" xfId="0" applyNumberFormat="1" applyFont="1" applyFill="1"/>
    <xf numFmtId="4" fontId="38" fillId="2" borderId="0" xfId="2" applyNumberFormat="1" applyFont="1" applyFill="1" applyAlignment="1">
      <alignment horizontal="center"/>
    </xf>
    <xf numFmtId="4" fontId="36" fillId="0" borderId="0" xfId="0" applyNumberFormat="1" applyFont="1" applyFill="1" applyAlignment="1">
      <alignment wrapText="1"/>
    </xf>
    <xf numFmtId="4" fontId="36" fillId="0" borderId="0" xfId="0" applyNumberFormat="1" applyFont="1" applyFill="1" applyAlignment="1"/>
    <xf numFmtId="4" fontId="36" fillId="0" borderId="0" xfId="3" applyNumberFormat="1" applyFont="1"/>
    <xf numFmtId="4" fontId="38" fillId="0" borderId="0" xfId="2" applyNumberFormat="1" applyFont="1" applyFill="1" applyBorder="1"/>
    <xf numFmtId="2" fontId="4" fillId="0" borderId="15" xfId="0" applyNumberFormat="1" applyFont="1" applyBorder="1" applyAlignment="1">
      <alignment horizontal="left"/>
    </xf>
    <xf numFmtId="2" fontId="40" fillId="4" borderId="0" xfId="0" applyNumberFormat="1" applyFont="1" applyFill="1" applyBorder="1" applyAlignment="1">
      <alignment horizontal="left"/>
    </xf>
    <xf numFmtId="4" fontId="4" fillId="4" borderId="0" xfId="0" applyNumberFormat="1" applyFont="1" applyFill="1" applyBorder="1"/>
    <xf numFmtId="0" fontId="40" fillId="4" borderId="0" xfId="0" applyFont="1" applyFill="1" applyAlignment="1">
      <alignment horizontal="left"/>
    </xf>
    <xf numFmtId="4" fontId="41" fillId="0" borderId="0" xfId="0" applyNumberFormat="1" applyFont="1"/>
    <xf numFmtId="165" fontId="43" fillId="0" borderId="0" xfId="0" applyNumberFormat="1" applyFont="1" applyFill="1" applyBorder="1" applyAlignment="1" applyProtection="1">
      <alignment horizontal="right" vertical="top" wrapText="1" readingOrder="1"/>
    </xf>
    <xf numFmtId="4" fontId="3" fillId="0" borderId="6" xfId="0" applyNumberFormat="1" applyFont="1" applyBorder="1"/>
    <xf numFmtId="0" fontId="10" fillId="3" borderId="0" xfId="0" applyFont="1" applyFill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8" fillId="3" borderId="0" xfId="0" applyNumberFormat="1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2" fontId="17" fillId="3" borderId="0" xfId="0" applyNumberFormat="1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2" fontId="16" fillId="3" borderId="0" xfId="0" applyNumberFormat="1" applyFont="1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47625</xdr:rowOff>
    </xdr:from>
    <xdr:to>
      <xdr:col>0</xdr:col>
      <xdr:colOff>1340303</xdr:colOff>
      <xdr:row>2</xdr:row>
      <xdr:rowOff>129268</xdr:rowOff>
    </xdr:to>
    <xdr:pic>
      <xdr:nvPicPr>
        <xdr:cNvPr id="2" name="Imagen 1" descr="C:\Users\EVENTOS\Downloads\LOGOTIPOS SEDIF HORIZONT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47625"/>
          <a:ext cx="128587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727984</xdr:colOff>
      <xdr:row>0</xdr:row>
      <xdr:rowOff>142875</xdr:rowOff>
    </xdr:from>
    <xdr:to>
      <xdr:col>4</xdr:col>
      <xdr:colOff>1018214</xdr:colOff>
      <xdr:row>2</xdr:row>
      <xdr:rowOff>183696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623A44-D332-454D-BABA-C1E70C1D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2930" y="142875"/>
          <a:ext cx="1283552" cy="53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47625</xdr:rowOff>
    </xdr:from>
    <xdr:to>
      <xdr:col>0</xdr:col>
      <xdr:colOff>1340303</xdr:colOff>
      <xdr:row>2</xdr:row>
      <xdr:rowOff>129268</xdr:rowOff>
    </xdr:to>
    <xdr:pic>
      <xdr:nvPicPr>
        <xdr:cNvPr id="2" name="Imagen 1" descr="C:\Users\EVENTOS\Downloads\LOGOTIPOS SEDIF HORIZONT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47625"/>
          <a:ext cx="1285875" cy="5769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727984</xdr:colOff>
      <xdr:row>0</xdr:row>
      <xdr:rowOff>142875</xdr:rowOff>
    </xdr:from>
    <xdr:to>
      <xdr:col>4</xdr:col>
      <xdr:colOff>1018214</xdr:colOff>
      <xdr:row>2</xdr:row>
      <xdr:rowOff>183696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623A44-D332-454D-BABA-C1E70C1D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0209" y="142875"/>
          <a:ext cx="1280830" cy="536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75"/>
  <sheetViews>
    <sheetView topLeftCell="A935" zoomScale="140" zoomScaleNormal="140" workbookViewId="0">
      <selection activeCell="A940" sqref="A940"/>
    </sheetView>
  </sheetViews>
  <sheetFormatPr baseColWidth="10" defaultRowHeight="15" x14ac:dyDescent="0.25"/>
  <cols>
    <col min="1" max="1" width="62.7109375" customWidth="1"/>
    <col min="2" max="2" width="17.85546875" style="36" customWidth="1"/>
    <col min="3" max="3" width="15" style="36" customWidth="1"/>
    <col min="4" max="4" width="14.85546875" style="36" customWidth="1"/>
    <col min="5" max="5" width="16.28515625" style="36" bestFit="1" customWidth="1"/>
    <col min="6" max="6" width="15.140625" bestFit="1" customWidth="1"/>
    <col min="7" max="7" width="20" customWidth="1"/>
    <col min="8" max="8" width="15.140625" bestFit="1" customWidth="1"/>
  </cols>
  <sheetData>
    <row r="1" spans="1:7" ht="19.5" x14ac:dyDescent="0.4">
      <c r="A1" s="176" t="s">
        <v>104</v>
      </c>
      <c r="B1" s="177"/>
      <c r="C1" s="177"/>
      <c r="D1" s="177"/>
      <c r="E1" s="178"/>
    </row>
    <row r="2" spans="1:7" ht="19.5" x14ac:dyDescent="0.4">
      <c r="A2" s="179" t="s">
        <v>114</v>
      </c>
      <c r="B2" s="180"/>
      <c r="C2" s="180"/>
      <c r="D2" s="180"/>
      <c r="E2" s="181"/>
    </row>
    <row r="3" spans="1:7" ht="20.25" thickBot="1" x14ac:dyDescent="0.45">
      <c r="A3" s="182" t="s">
        <v>115</v>
      </c>
      <c r="B3" s="183"/>
      <c r="C3" s="183"/>
      <c r="D3" s="183"/>
      <c r="E3" s="184"/>
    </row>
    <row r="4" spans="1:7" x14ac:dyDescent="0.25">
      <c r="G4" s="29" t="s">
        <v>75</v>
      </c>
    </row>
    <row r="5" spans="1:7" ht="18.75" x14ac:dyDescent="0.4">
      <c r="A5" s="169" t="s">
        <v>159</v>
      </c>
      <c r="B5" s="169"/>
      <c r="C5" s="169"/>
      <c r="D5" s="169"/>
      <c r="E5" s="169"/>
      <c r="G5" s="29"/>
    </row>
    <row r="6" spans="1:7" ht="18.75" x14ac:dyDescent="0.4">
      <c r="A6" s="12"/>
      <c r="B6" s="42"/>
      <c r="C6" s="42"/>
      <c r="D6" s="42"/>
      <c r="E6" s="42"/>
      <c r="G6" s="29"/>
    </row>
    <row r="7" spans="1:7" ht="30" x14ac:dyDescent="0.25">
      <c r="A7" s="33" t="s">
        <v>105</v>
      </c>
      <c r="B7" s="38" t="s">
        <v>106</v>
      </c>
      <c r="C7" s="38" t="s">
        <v>107</v>
      </c>
      <c r="D7" s="38" t="s">
        <v>108</v>
      </c>
      <c r="E7" s="38" t="s">
        <v>109</v>
      </c>
      <c r="G7" s="29"/>
    </row>
    <row r="8" spans="1:7" ht="18.75" x14ac:dyDescent="0.4">
      <c r="A8" s="32" t="s">
        <v>110</v>
      </c>
      <c r="B8" s="37">
        <f>SUM(B9:B50)</f>
        <v>0</v>
      </c>
      <c r="C8" s="134">
        <f>SUM(C9:C50)</f>
        <v>8703707.9800000004</v>
      </c>
      <c r="D8" s="135">
        <f t="shared" ref="D8:E8" si="0">SUM(D9:D50)</f>
        <v>195153041.84000003</v>
      </c>
      <c r="E8" s="135">
        <f t="shared" si="0"/>
        <v>203856749.82000002</v>
      </c>
      <c r="G8" s="29"/>
    </row>
    <row r="9" spans="1:7" x14ac:dyDescent="0.25">
      <c r="A9" s="57" t="s">
        <v>1</v>
      </c>
      <c r="B9" s="52"/>
      <c r="C9" s="61">
        <v>66362.13</v>
      </c>
      <c r="D9" s="58"/>
      <c r="E9" s="58">
        <f>+B9+C9+D9</f>
        <v>66362.13</v>
      </c>
      <c r="G9" s="29"/>
    </row>
    <row r="10" spans="1:7" x14ac:dyDescent="0.25">
      <c r="A10" s="57" t="s">
        <v>2</v>
      </c>
      <c r="B10" s="52"/>
      <c r="C10" s="61">
        <v>192933.73</v>
      </c>
      <c r="D10" s="58"/>
      <c r="E10" s="58">
        <f t="shared" ref="E10:E23" si="1">+B10+C10+D10</f>
        <v>192933.73</v>
      </c>
      <c r="G10" s="29"/>
    </row>
    <row r="11" spans="1:7" x14ac:dyDescent="0.25">
      <c r="A11" s="57" t="s">
        <v>17</v>
      </c>
      <c r="B11" s="58"/>
      <c r="C11" s="61">
        <v>7003.31</v>
      </c>
      <c r="D11" s="50"/>
      <c r="E11" s="58">
        <f t="shared" si="1"/>
        <v>7003.31</v>
      </c>
      <c r="G11" s="29"/>
    </row>
    <row r="12" spans="1:7" x14ac:dyDescent="0.25">
      <c r="A12" s="72" t="s">
        <v>162</v>
      </c>
      <c r="B12" s="58"/>
      <c r="C12" s="61">
        <v>8659.98</v>
      </c>
      <c r="D12" s="50"/>
      <c r="E12" s="58">
        <f t="shared" si="1"/>
        <v>8659.98</v>
      </c>
      <c r="G12" s="29"/>
    </row>
    <row r="13" spans="1:7" x14ac:dyDescent="0.25">
      <c r="A13" s="57" t="s">
        <v>6</v>
      </c>
      <c r="B13" s="67"/>
      <c r="C13" s="61">
        <v>13584.56</v>
      </c>
      <c r="D13" s="58"/>
      <c r="E13" s="58">
        <f t="shared" si="1"/>
        <v>13584.56</v>
      </c>
      <c r="G13" s="29"/>
    </row>
    <row r="14" spans="1:7" x14ac:dyDescent="0.25">
      <c r="A14" s="57" t="s">
        <v>30</v>
      </c>
      <c r="B14" s="67"/>
      <c r="C14" s="61">
        <v>600.66999999999996</v>
      </c>
      <c r="D14" s="58"/>
      <c r="E14" s="58">
        <f t="shared" si="1"/>
        <v>600.66999999999996</v>
      </c>
      <c r="G14" s="29"/>
    </row>
    <row r="15" spans="1:7" x14ac:dyDescent="0.25">
      <c r="A15" s="57" t="s">
        <v>32</v>
      </c>
      <c r="B15" s="67"/>
      <c r="C15" s="61">
        <v>132.24</v>
      </c>
      <c r="D15" s="58"/>
      <c r="E15" s="58">
        <f t="shared" si="1"/>
        <v>132.24</v>
      </c>
      <c r="G15" s="29"/>
    </row>
    <row r="16" spans="1:7" x14ac:dyDescent="0.25">
      <c r="A16" s="57" t="s">
        <v>8</v>
      </c>
      <c r="B16" s="67"/>
      <c r="C16" s="61">
        <v>303.2</v>
      </c>
      <c r="D16" s="58"/>
      <c r="E16" s="58">
        <f t="shared" si="1"/>
        <v>303.2</v>
      </c>
      <c r="G16" s="29"/>
    </row>
    <row r="17" spans="1:7" x14ac:dyDescent="0.25">
      <c r="A17" s="57" t="s">
        <v>73</v>
      </c>
      <c r="B17" s="67"/>
      <c r="C17" s="61">
        <v>2479.9499999999998</v>
      </c>
      <c r="D17" s="58"/>
      <c r="E17" s="58">
        <f t="shared" si="1"/>
        <v>2479.9499999999998</v>
      </c>
      <c r="G17" s="29"/>
    </row>
    <row r="18" spans="1:7" x14ac:dyDescent="0.25">
      <c r="A18" s="57" t="s">
        <v>33</v>
      </c>
      <c r="B18" s="67"/>
      <c r="C18" s="61">
        <v>20677</v>
      </c>
      <c r="D18" s="58"/>
      <c r="E18" s="58">
        <f t="shared" si="1"/>
        <v>20677</v>
      </c>
      <c r="G18" s="29"/>
    </row>
    <row r="19" spans="1:7" x14ac:dyDescent="0.25">
      <c r="A19" s="57" t="s">
        <v>10</v>
      </c>
      <c r="B19" s="67"/>
      <c r="C19" s="61">
        <f>1187835.36+181120.36</f>
        <v>1368955.7200000002</v>
      </c>
      <c r="D19" s="58"/>
      <c r="E19" s="58">
        <f t="shared" si="1"/>
        <v>1368955.7200000002</v>
      </c>
      <c r="G19" s="29"/>
    </row>
    <row r="20" spans="1:7" x14ac:dyDescent="0.25">
      <c r="A20" s="57" t="s">
        <v>12</v>
      </c>
      <c r="B20" s="67"/>
      <c r="C20" s="61">
        <v>466.32</v>
      </c>
      <c r="D20" s="58"/>
      <c r="E20" s="58">
        <f t="shared" si="1"/>
        <v>466.32</v>
      </c>
      <c r="G20" s="29"/>
    </row>
    <row r="21" spans="1:7" x14ac:dyDescent="0.25">
      <c r="A21" s="57" t="s">
        <v>13</v>
      </c>
      <c r="B21" s="67"/>
      <c r="C21" s="61">
        <v>178</v>
      </c>
      <c r="D21" s="58"/>
      <c r="E21" s="58">
        <f t="shared" si="1"/>
        <v>178</v>
      </c>
      <c r="G21" s="29"/>
    </row>
    <row r="22" spans="1:7" x14ac:dyDescent="0.25">
      <c r="A22" s="57" t="s">
        <v>34</v>
      </c>
      <c r="B22" s="67"/>
      <c r="C22" s="61">
        <v>7593.34</v>
      </c>
      <c r="D22" s="58"/>
      <c r="E22" s="58">
        <f t="shared" si="1"/>
        <v>7593.34</v>
      </c>
      <c r="G22" s="29"/>
    </row>
    <row r="23" spans="1:7" x14ac:dyDescent="0.25">
      <c r="A23" s="57" t="s">
        <v>35</v>
      </c>
      <c r="B23" s="67"/>
      <c r="C23" s="61">
        <v>184147.34</v>
      </c>
      <c r="D23" s="58"/>
      <c r="E23" s="58">
        <f t="shared" si="1"/>
        <v>184147.34</v>
      </c>
      <c r="F23" s="36">
        <f>SUM(E9:E23)</f>
        <v>1874077.4900000005</v>
      </c>
      <c r="G23" s="29"/>
    </row>
    <row r="24" spans="1:7" x14ac:dyDescent="0.25">
      <c r="A24" s="9"/>
      <c r="B24" s="40"/>
      <c r="C24" s="40"/>
      <c r="D24" s="40"/>
      <c r="E24" s="51"/>
      <c r="G24" s="29"/>
    </row>
    <row r="25" spans="1:7" ht="18.75" x14ac:dyDescent="0.4">
      <c r="A25" s="32" t="s">
        <v>111</v>
      </c>
      <c r="B25" s="40"/>
      <c r="C25" s="40"/>
      <c r="D25" s="40"/>
      <c r="E25" s="51"/>
      <c r="G25" s="29"/>
    </row>
    <row r="26" spans="1:7" x14ac:dyDescent="0.25">
      <c r="A26" s="59"/>
      <c r="B26" s="58"/>
      <c r="C26" s="58"/>
      <c r="D26" s="58"/>
      <c r="E26" s="58">
        <f t="shared" ref="E26:E27" si="2">+B26+C26+D26</f>
        <v>0</v>
      </c>
      <c r="G26" s="29"/>
    </row>
    <row r="27" spans="1:7" x14ac:dyDescent="0.25">
      <c r="A27" s="59"/>
      <c r="B27" s="58"/>
      <c r="C27" s="58"/>
      <c r="D27" s="58"/>
      <c r="E27" s="58">
        <f t="shared" si="2"/>
        <v>0</v>
      </c>
      <c r="G27" s="29"/>
    </row>
    <row r="28" spans="1:7" x14ac:dyDescent="0.25">
      <c r="A28" s="9"/>
      <c r="B28" s="40"/>
      <c r="C28" s="40"/>
      <c r="D28" s="40"/>
      <c r="E28" s="40"/>
      <c r="G28" s="29"/>
    </row>
    <row r="29" spans="1:7" ht="18.75" x14ac:dyDescent="0.4">
      <c r="A29" s="32" t="s">
        <v>112</v>
      </c>
      <c r="B29" s="40"/>
      <c r="C29" s="40"/>
      <c r="D29" s="40"/>
      <c r="E29" s="51"/>
      <c r="G29" s="29"/>
    </row>
    <row r="30" spans="1:7" ht="15.75" x14ac:dyDescent="0.3">
      <c r="A30" s="116" t="s">
        <v>183</v>
      </c>
      <c r="B30" s="40"/>
      <c r="C30" s="40"/>
      <c r="D30" s="40"/>
      <c r="E30" s="51"/>
      <c r="G30" s="29"/>
    </row>
    <row r="31" spans="1:7" x14ac:dyDescent="0.25">
      <c r="A31" s="60" t="s">
        <v>120</v>
      </c>
      <c r="B31" s="58">
        <v>0</v>
      </c>
      <c r="C31" s="61">
        <v>2745562.95</v>
      </c>
      <c r="D31" s="58"/>
      <c r="E31" s="58">
        <f t="shared" ref="E31" si="3">+B31+C31+D31</f>
        <v>2745562.95</v>
      </c>
      <c r="G31" s="29"/>
    </row>
    <row r="32" spans="1:7" ht="15.75" x14ac:dyDescent="0.3">
      <c r="A32" s="116" t="s">
        <v>160</v>
      </c>
      <c r="B32" s="40"/>
      <c r="C32" s="40"/>
      <c r="D32" s="40"/>
      <c r="E32" s="51"/>
      <c r="G32" s="29"/>
    </row>
    <row r="33" spans="1:7" x14ac:dyDescent="0.25">
      <c r="A33" s="60" t="s">
        <v>120</v>
      </c>
      <c r="B33" s="58">
        <v>0</v>
      </c>
      <c r="C33" s="61">
        <v>3994691.86</v>
      </c>
      <c r="D33" s="61">
        <v>37117080</v>
      </c>
      <c r="E33" s="58">
        <f t="shared" ref="E33" si="4">+B33+C33+D33</f>
        <v>41111771.859999999</v>
      </c>
      <c r="G33" s="29"/>
    </row>
    <row r="34" spans="1:7" ht="15.75" x14ac:dyDescent="0.3">
      <c r="A34" s="116" t="s">
        <v>161</v>
      </c>
      <c r="B34" s="40"/>
      <c r="C34" s="49"/>
      <c r="D34" s="49"/>
      <c r="E34" s="51"/>
      <c r="G34" s="29"/>
    </row>
    <row r="35" spans="1:7" x14ac:dyDescent="0.25">
      <c r="A35" s="60" t="s">
        <v>120</v>
      </c>
      <c r="B35" s="58">
        <v>0</v>
      </c>
      <c r="C35" s="61">
        <v>0</v>
      </c>
      <c r="D35" s="61">
        <v>45628255.799999997</v>
      </c>
      <c r="E35" s="58">
        <f t="shared" ref="E35" si="5">+B35+C35+D35</f>
        <v>45628255.799999997</v>
      </c>
      <c r="G35" s="29"/>
    </row>
    <row r="36" spans="1:7" ht="15.75" x14ac:dyDescent="0.3">
      <c r="A36" s="116" t="s">
        <v>186</v>
      </c>
      <c r="B36" s="40"/>
      <c r="C36" s="49"/>
      <c r="D36" s="49"/>
      <c r="E36" s="51"/>
      <c r="G36" s="29"/>
    </row>
    <row r="37" spans="1:7" x14ac:dyDescent="0.25">
      <c r="A37" s="60" t="s">
        <v>120</v>
      </c>
      <c r="B37" s="58">
        <v>0</v>
      </c>
      <c r="C37" s="61">
        <v>0</v>
      </c>
      <c r="D37" s="61">
        <v>101270918.04000001</v>
      </c>
      <c r="E37" s="58">
        <f t="shared" ref="E37" si="6">+B37+C37+D37</f>
        <v>101270918.04000001</v>
      </c>
      <c r="G37" s="29"/>
    </row>
    <row r="38" spans="1:7" ht="15.75" x14ac:dyDescent="0.3">
      <c r="A38" s="116" t="s">
        <v>184</v>
      </c>
      <c r="B38" s="40"/>
      <c r="C38" s="49"/>
      <c r="D38" s="49"/>
      <c r="E38" s="51"/>
      <c r="G38" s="29"/>
    </row>
    <row r="39" spans="1:7" x14ac:dyDescent="0.25">
      <c r="A39" s="60" t="s">
        <v>120</v>
      </c>
      <c r="B39" s="58">
        <v>0</v>
      </c>
      <c r="C39" s="61">
        <v>0</v>
      </c>
      <c r="D39" s="61">
        <v>4630340</v>
      </c>
      <c r="E39" s="58">
        <f t="shared" ref="E39" si="7">+B39+C39+D39</f>
        <v>4630340</v>
      </c>
      <c r="F39" s="36">
        <f>SUM(E31:E39)</f>
        <v>195386848.65000001</v>
      </c>
      <c r="G39" s="29"/>
    </row>
    <row r="40" spans="1:7" ht="15.75" x14ac:dyDescent="0.3">
      <c r="A40" s="116" t="s">
        <v>185</v>
      </c>
      <c r="B40" s="40"/>
      <c r="C40" s="49"/>
      <c r="D40" s="49"/>
      <c r="E40" s="51"/>
      <c r="G40" s="29"/>
    </row>
    <row r="41" spans="1:7" x14ac:dyDescent="0.25">
      <c r="A41" s="60" t="s">
        <v>191</v>
      </c>
      <c r="B41" s="58">
        <v>0</v>
      </c>
      <c r="C41" s="61">
        <v>0</v>
      </c>
      <c r="D41" s="61">
        <v>377856.61</v>
      </c>
      <c r="E41" s="58">
        <f t="shared" ref="E41" si="8">+B41+C41+D41</f>
        <v>377856.61</v>
      </c>
      <c r="G41" s="29"/>
    </row>
    <row r="42" spans="1:7" x14ac:dyDescent="0.25">
      <c r="A42" s="60" t="s">
        <v>190</v>
      </c>
      <c r="B42" s="58">
        <v>0</v>
      </c>
      <c r="C42" s="61">
        <v>0</v>
      </c>
      <c r="D42" s="61">
        <v>0</v>
      </c>
      <c r="E42" s="58">
        <f t="shared" ref="E42:E43" si="9">+B42+C42+D42</f>
        <v>0</v>
      </c>
      <c r="G42" s="29"/>
    </row>
    <row r="43" spans="1:7" x14ac:dyDescent="0.25">
      <c r="A43" s="60" t="s">
        <v>120</v>
      </c>
      <c r="B43" s="58">
        <v>0</v>
      </c>
      <c r="C43" s="61">
        <v>0</v>
      </c>
      <c r="D43" s="61">
        <v>1715811.59</v>
      </c>
      <c r="E43" s="58">
        <f t="shared" si="9"/>
        <v>1715811.59</v>
      </c>
      <c r="G43" s="29"/>
    </row>
    <row r="44" spans="1:7" ht="15.75" x14ac:dyDescent="0.3">
      <c r="A44" s="116" t="s">
        <v>187</v>
      </c>
      <c r="B44" s="40"/>
      <c r="C44" s="49"/>
      <c r="D44" s="49"/>
      <c r="E44" s="51"/>
      <c r="G44" s="29"/>
    </row>
    <row r="45" spans="1:7" x14ac:dyDescent="0.25">
      <c r="A45" s="60" t="s">
        <v>120</v>
      </c>
      <c r="B45" s="58">
        <v>0</v>
      </c>
      <c r="C45" s="61">
        <v>0</v>
      </c>
      <c r="D45" s="61">
        <v>4412779.8</v>
      </c>
      <c r="E45" s="58">
        <f t="shared" ref="E45" si="10">+B45+C45+D45</f>
        <v>4412779.8</v>
      </c>
      <c r="G45" s="29"/>
    </row>
    <row r="46" spans="1:7" x14ac:dyDescent="0.25">
      <c r="A46" s="115"/>
      <c r="B46" s="93"/>
      <c r="C46" s="40"/>
      <c r="D46" s="40"/>
      <c r="E46" s="40"/>
      <c r="G46" s="29"/>
    </row>
    <row r="47" spans="1:7" ht="18.75" x14ac:dyDescent="0.4">
      <c r="A47" s="34" t="s">
        <v>113</v>
      </c>
      <c r="B47" s="40"/>
      <c r="C47" s="40"/>
      <c r="D47" s="40"/>
      <c r="E47" s="51"/>
      <c r="G47" s="29"/>
    </row>
    <row r="48" spans="1:7" x14ac:dyDescent="0.25">
      <c r="A48" s="92" t="s">
        <v>137</v>
      </c>
      <c r="B48" s="61">
        <v>0</v>
      </c>
      <c r="C48" s="61">
        <v>722.68</v>
      </c>
      <c r="D48" s="58"/>
      <c r="E48" s="58">
        <f t="shared" ref="E48:E50" si="11">+B48+C48+D48</f>
        <v>722.68</v>
      </c>
      <c r="G48" s="29"/>
    </row>
    <row r="49" spans="1:37" x14ac:dyDescent="0.25">
      <c r="A49" s="92" t="s">
        <v>163</v>
      </c>
      <c r="B49" s="96"/>
      <c r="C49" s="61">
        <v>12528</v>
      </c>
      <c r="D49" s="58"/>
      <c r="E49" s="58">
        <f t="shared" si="11"/>
        <v>12528</v>
      </c>
      <c r="G49" s="29"/>
    </row>
    <row r="50" spans="1:37" x14ac:dyDescent="0.25">
      <c r="A50" s="92" t="s">
        <v>142</v>
      </c>
      <c r="B50" s="96">
        <v>0</v>
      </c>
      <c r="C50" s="61">
        <v>76125</v>
      </c>
      <c r="D50" s="58"/>
      <c r="E50" s="58">
        <f t="shared" si="11"/>
        <v>76125</v>
      </c>
      <c r="F50" s="36">
        <f>SUM(E48:E50)</f>
        <v>89375.679999999993</v>
      </c>
      <c r="G50" s="29"/>
    </row>
    <row r="51" spans="1:37" x14ac:dyDescent="0.25">
      <c r="F51">
        <f>SUM(F9:F50)</f>
        <v>197350301.82000002</v>
      </c>
      <c r="G51" s="29">
        <f>1874077.91+2834938.63+63368057.46+33671936.64+62693422.66+3673378.78</f>
        <v>168115812.08000001</v>
      </c>
    </row>
    <row r="52" spans="1:37" x14ac:dyDescent="0.25">
      <c r="G52" s="29">
        <f>+G51-F51</f>
        <v>-29234489.74000001</v>
      </c>
    </row>
    <row r="53" spans="1:37" x14ac:dyDescent="0.25">
      <c r="G53" s="29"/>
    </row>
    <row r="54" spans="1:37" ht="18.75" x14ac:dyDescent="0.4">
      <c r="A54" s="185" t="s">
        <v>0</v>
      </c>
      <c r="B54" s="185"/>
      <c r="C54" s="185"/>
      <c r="D54" s="185"/>
      <c r="E54" s="185"/>
      <c r="F54" s="35" t="s">
        <v>75</v>
      </c>
      <c r="G54" s="35"/>
    </row>
    <row r="55" spans="1:37" ht="18.75" x14ac:dyDescent="0.4">
      <c r="A55" s="1"/>
      <c r="B55" s="37"/>
      <c r="C55" s="37"/>
      <c r="D55" s="37"/>
      <c r="E55" s="37"/>
      <c r="F55" s="1"/>
      <c r="G55" s="1"/>
      <c r="H55" s="29"/>
    </row>
    <row r="56" spans="1:37" ht="45.75" customHeight="1" x14ac:dyDescent="0.4">
      <c r="A56" s="33" t="s">
        <v>105</v>
      </c>
      <c r="B56" s="38" t="s">
        <v>106</v>
      </c>
      <c r="C56" s="38" t="s">
        <v>107</v>
      </c>
      <c r="D56" s="38" t="s">
        <v>108</v>
      </c>
      <c r="E56" s="38" t="s">
        <v>109</v>
      </c>
      <c r="F56" s="1"/>
      <c r="G56" s="1"/>
      <c r="H56" s="29"/>
    </row>
    <row r="57" spans="1:37" ht="18.75" x14ac:dyDescent="0.4">
      <c r="A57" s="32" t="s">
        <v>110</v>
      </c>
      <c r="B57" s="37">
        <f>SUM(B58:B86)</f>
        <v>12236687.100000001</v>
      </c>
      <c r="C57" s="37">
        <f t="shared" ref="C57:E57" si="12">SUM(C58:C86)</f>
        <v>103257.57</v>
      </c>
      <c r="D57" s="37">
        <f t="shared" si="12"/>
        <v>0</v>
      </c>
      <c r="E57" s="134">
        <f t="shared" si="12"/>
        <v>12339944.67</v>
      </c>
      <c r="F57" s="1">
        <v>2021</v>
      </c>
      <c r="G57" s="1"/>
      <c r="H57" s="29"/>
    </row>
    <row r="58" spans="1:37" s="3" customFormat="1" ht="11.25" customHeight="1" x14ac:dyDescent="0.15">
      <c r="A58" s="59" t="s">
        <v>1</v>
      </c>
      <c r="B58" s="58">
        <v>42296.66</v>
      </c>
      <c r="C58" s="58"/>
      <c r="D58" s="58"/>
      <c r="E58" s="58">
        <f>+B58+C58+D58</f>
        <v>42296.66</v>
      </c>
      <c r="F58" s="55">
        <v>54000</v>
      </c>
      <c r="G58" s="4"/>
      <c r="I58" s="4"/>
      <c r="K58" s="4"/>
      <c r="M58" s="4"/>
      <c r="O58" s="4"/>
      <c r="Q58" s="4"/>
      <c r="S58" s="4"/>
      <c r="U58" s="4"/>
      <c r="W58" s="4"/>
      <c r="Y58" s="4"/>
      <c r="AA58" s="4"/>
      <c r="AC58" s="4"/>
      <c r="AE58" s="4"/>
      <c r="AG58" s="4"/>
    </row>
    <row r="59" spans="1:37" s="3" customFormat="1" ht="11.25" customHeight="1" x14ac:dyDescent="0.15">
      <c r="A59" s="59" t="s">
        <v>2</v>
      </c>
      <c r="B59" s="61">
        <v>17261.72</v>
      </c>
      <c r="C59" s="52"/>
      <c r="D59" s="58"/>
      <c r="E59" s="58">
        <f t="shared" ref="E59:E76" si="13">+B59+C59+D59</f>
        <v>17261.72</v>
      </c>
      <c r="F59" s="55">
        <v>120731</v>
      </c>
      <c r="G59" s="8"/>
      <c r="H59" s="9"/>
      <c r="I59" s="8"/>
      <c r="J59" s="7"/>
      <c r="K59" s="8"/>
      <c r="L59" s="7"/>
      <c r="M59" s="8"/>
      <c r="N59" s="7"/>
      <c r="O59" s="8"/>
      <c r="P59" s="7"/>
      <c r="Q59" s="8"/>
      <c r="R59" s="7"/>
      <c r="S59" s="8"/>
      <c r="T59" s="7"/>
      <c r="U59" s="8"/>
      <c r="V59" s="7"/>
      <c r="W59" s="8"/>
      <c r="X59" s="7"/>
      <c r="Y59" s="8"/>
      <c r="Z59" s="7"/>
      <c r="AA59" s="8"/>
      <c r="AB59" s="7"/>
      <c r="AC59" s="8"/>
      <c r="AD59" s="7"/>
      <c r="AE59" s="8"/>
      <c r="AF59" s="7"/>
      <c r="AG59" s="8"/>
      <c r="AH59" s="7"/>
    </row>
    <row r="60" spans="1:37" s="3" customFormat="1" ht="11.25" customHeight="1" x14ac:dyDescent="0.15">
      <c r="A60" s="87" t="s">
        <v>117</v>
      </c>
      <c r="B60" s="61">
        <v>34.97</v>
      </c>
      <c r="C60" s="54"/>
      <c r="D60" s="50"/>
      <c r="E60" s="58">
        <f t="shared" si="13"/>
        <v>34.97</v>
      </c>
      <c r="F60" s="31"/>
      <c r="G60" s="8"/>
      <c r="H60" s="9"/>
      <c r="I60" s="8"/>
      <c r="J60" s="7"/>
      <c r="K60" s="8"/>
      <c r="L60" s="7"/>
      <c r="M60" s="8"/>
      <c r="N60" s="7"/>
      <c r="O60" s="8"/>
      <c r="P60" s="7"/>
      <c r="Q60" s="8"/>
      <c r="R60" s="7"/>
      <c r="S60" s="8"/>
      <c r="T60" s="7"/>
      <c r="U60" s="8"/>
      <c r="V60" s="7"/>
      <c r="W60" s="8"/>
      <c r="X60" s="7"/>
      <c r="Y60" s="8"/>
      <c r="Z60" s="7"/>
      <c r="AA60" s="8"/>
      <c r="AB60" s="7"/>
      <c r="AC60" s="8"/>
      <c r="AD60" s="7"/>
      <c r="AE60" s="8"/>
      <c r="AF60" s="7"/>
      <c r="AG60" s="8"/>
      <c r="AH60" s="7"/>
      <c r="AK60" s="10"/>
    </row>
    <row r="61" spans="1:37" s="3" customFormat="1" ht="11.25" customHeight="1" thickBot="1" x14ac:dyDescent="0.2">
      <c r="A61" s="59" t="s">
        <v>3</v>
      </c>
      <c r="B61" s="61">
        <v>9471.52</v>
      </c>
      <c r="C61" s="52"/>
      <c r="D61" s="58"/>
      <c r="E61" s="58">
        <f t="shared" si="13"/>
        <v>9471.52</v>
      </c>
      <c r="F61" s="55">
        <v>17500</v>
      </c>
      <c r="G61" s="8"/>
      <c r="H61" s="9"/>
      <c r="I61" s="8"/>
      <c r="J61" s="7"/>
      <c r="K61" s="8"/>
      <c r="L61" s="7"/>
      <c r="M61" s="8"/>
      <c r="N61" s="7"/>
      <c r="O61" s="8"/>
      <c r="P61" s="7"/>
      <c r="Q61" s="8"/>
      <c r="R61" s="7"/>
      <c r="S61" s="8"/>
      <c r="T61" s="7"/>
      <c r="U61" s="8"/>
      <c r="V61" s="7"/>
      <c r="W61" s="8"/>
      <c r="X61" s="7"/>
      <c r="Y61" s="8"/>
      <c r="Z61" s="7"/>
      <c r="AA61" s="8"/>
      <c r="AB61" s="7"/>
      <c r="AC61" s="8"/>
      <c r="AD61" s="7"/>
      <c r="AE61" s="8"/>
      <c r="AF61" s="7"/>
      <c r="AG61" s="8"/>
      <c r="AH61" s="7"/>
    </row>
    <row r="62" spans="1:37" ht="15.75" thickBot="1" x14ac:dyDescent="0.3">
      <c r="A62" s="59" t="s">
        <v>4</v>
      </c>
      <c r="B62" s="58"/>
      <c r="C62" s="58"/>
      <c r="D62" s="58"/>
      <c r="E62" s="58">
        <f t="shared" si="13"/>
        <v>0</v>
      </c>
      <c r="F62" s="56">
        <v>46525</v>
      </c>
    </row>
    <row r="63" spans="1:37" ht="15.75" thickBot="1" x14ac:dyDescent="0.3">
      <c r="A63" s="59" t="s">
        <v>6</v>
      </c>
      <c r="B63" s="61">
        <v>7380.6</v>
      </c>
      <c r="C63" s="58"/>
      <c r="D63" s="58"/>
      <c r="E63" s="58">
        <f t="shared" si="13"/>
        <v>7380.6</v>
      </c>
      <c r="F63" s="56">
        <v>9700</v>
      </c>
    </row>
    <row r="64" spans="1:37" ht="15.75" thickBot="1" x14ac:dyDescent="0.3">
      <c r="A64" s="60" t="s">
        <v>116</v>
      </c>
      <c r="B64" s="61">
        <v>3138.96</v>
      </c>
      <c r="C64" s="58"/>
      <c r="D64" s="58"/>
      <c r="E64" s="58">
        <f t="shared" si="13"/>
        <v>3138.96</v>
      </c>
      <c r="F64" s="26"/>
    </row>
    <row r="65" spans="1:7" ht="15.75" thickBot="1" x14ac:dyDescent="0.3">
      <c r="A65" s="59" t="s">
        <v>7</v>
      </c>
      <c r="B65" s="58"/>
      <c r="C65" s="58"/>
      <c r="D65" s="58"/>
      <c r="E65" s="58">
        <f t="shared" si="13"/>
        <v>0</v>
      </c>
      <c r="F65" s="56">
        <v>7000</v>
      </c>
    </row>
    <row r="66" spans="1:7" ht="15.75" thickBot="1" x14ac:dyDescent="0.3">
      <c r="A66" s="59" t="s">
        <v>8</v>
      </c>
      <c r="B66" s="58"/>
      <c r="C66" s="58"/>
      <c r="D66" s="58"/>
      <c r="E66" s="58">
        <f t="shared" si="13"/>
        <v>0</v>
      </c>
      <c r="F66" s="56">
        <v>11000</v>
      </c>
    </row>
    <row r="67" spans="1:7" ht="15.75" thickBot="1" x14ac:dyDescent="0.3">
      <c r="A67" s="59" t="s">
        <v>9</v>
      </c>
      <c r="B67" s="58"/>
      <c r="C67" s="58"/>
      <c r="D67" s="58"/>
      <c r="E67" s="58">
        <f t="shared" si="13"/>
        <v>0</v>
      </c>
      <c r="F67" s="56">
        <v>4000</v>
      </c>
    </row>
    <row r="68" spans="1:7" ht="15.75" thickBot="1" x14ac:dyDescent="0.3">
      <c r="A68" s="60" t="s">
        <v>165</v>
      </c>
      <c r="B68" s="61">
        <v>0</v>
      </c>
      <c r="C68" s="61">
        <v>23767.97</v>
      </c>
      <c r="D68" s="58"/>
      <c r="E68" s="58">
        <f t="shared" si="13"/>
        <v>23767.97</v>
      </c>
      <c r="F68" s="26"/>
    </row>
    <row r="69" spans="1:7" ht="15.75" thickBot="1" x14ac:dyDescent="0.3">
      <c r="A69" s="59" t="s">
        <v>10</v>
      </c>
      <c r="B69" s="58">
        <f>236241.52-51000</f>
        <v>185241.52</v>
      </c>
      <c r="C69" s="58">
        <v>51000</v>
      </c>
      <c r="D69" s="58"/>
      <c r="E69" s="58">
        <f t="shared" si="13"/>
        <v>236241.52</v>
      </c>
      <c r="F69" s="56">
        <v>258240</v>
      </c>
    </row>
    <row r="70" spans="1:7" ht="15.75" thickBot="1" x14ac:dyDescent="0.3">
      <c r="A70" s="60" t="s">
        <v>118</v>
      </c>
      <c r="B70" s="58">
        <v>74017.67</v>
      </c>
      <c r="C70" s="58"/>
      <c r="D70" s="58"/>
      <c r="E70" s="58">
        <f t="shared" si="13"/>
        <v>74017.67</v>
      </c>
      <c r="F70" s="26"/>
    </row>
    <row r="71" spans="1:7" ht="15.75" thickBot="1" x14ac:dyDescent="0.3">
      <c r="A71" s="59" t="s">
        <v>11</v>
      </c>
      <c r="B71" s="61">
        <v>0</v>
      </c>
      <c r="C71" s="61">
        <v>28489.599999999999</v>
      </c>
      <c r="D71" s="58"/>
      <c r="E71" s="58">
        <f t="shared" si="13"/>
        <v>28489.599999999999</v>
      </c>
      <c r="F71" s="56">
        <v>7000</v>
      </c>
    </row>
    <row r="72" spans="1:7" ht="15.75" thickBot="1" x14ac:dyDescent="0.3">
      <c r="A72" s="59" t="s">
        <v>12</v>
      </c>
      <c r="B72" s="58"/>
      <c r="C72" s="58"/>
      <c r="D72" s="58"/>
      <c r="E72" s="58">
        <f t="shared" si="13"/>
        <v>0</v>
      </c>
      <c r="F72" s="56">
        <v>32201</v>
      </c>
    </row>
    <row r="73" spans="1:7" ht="15.75" thickBot="1" x14ac:dyDescent="0.3">
      <c r="A73" s="60" t="s">
        <v>119</v>
      </c>
      <c r="B73" s="58">
        <v>5194.42</v>
      </c>
      <c r="C73" s="58"/>
      <c r="D73" s="58"/>
      <c r="E73" s="58">
        <f t="shared" si="13"/>
        <v>5194.42</v>
      </c>
      <c r="F73" s="26"/>
    </row>
    <row r="74" spans="1:7" ht="15.75" thickBot="1" x14ac:dyDescent="0.3">
      <c r="A74" s="59" t="s">
        <v>13</v>
      </c>
      <c r="B74" s="58"/>
      <c r="C74" s="58"/>
      <c r="D74" s="58"/>
      <c r="E74" s="58">
        <f t="shared" si="13"/>
        <v>0</v>
      </c>
      <c r="F74" s="56">
        <v>2500</v>
      </c>
    </row>
    <row r="75" spans="1:7" ht="15.75" thickBot="1" x14ac:dyDescent="0.3">
      <c r="A75" s="59" t="s">
        <v>14</v>
      </c>
      <c r="B75" s="58"/>
      <c r="C75" s="58"/>
      <c r="D75" s="58"/>
      <c r="E75" s="58">
        <f t="shared" si="13"/>
        <v>0</v>
      </c>
      <c r="F75" s="56">
        <v>2500</v>
      </c>
    </row>
    <row r="76" spans="1:7" ht="15.75" thickBot="1" x14ac:dyDescent="0.3">
      <c r="A76" s="117" t="s">
        <v>164</v>
      </c>
      <c r="B76" s="58">
        <v>55628.51</v>
      </c>
      <c r="C76" s="63"/>
      <c r="D76" s="58"/>
      <c r="E76" s="58">
        <f t="shared" si="13"/>
        <v>55628.51</v>
      </c>
      <c r="F76" s="27">
        <v>22000</v>
      </c>
    </row>
    <row r="77" spans="1:7" x14ac:dyDescent="0.25">
      <c r="A77" s="9"/>
      <c r="B77" s="40"/>
      <c r="C77" s="40"/>
      <c r="D77" s="40"/>
      <c r="E77" s="51"/>
      <c r="F77" s="28"/>
      <c r="G77" s="29">
        <f>SUM(F59:F76)</f>
        <v>540897</v>
      </c>
    </row>
    <row r="78" spans="1:7" ht="18.75" x14ac:dyDescent="0.4">
      <c r="A78" s="32" t="s">
        <v>111</v>
      </c>
      <c r="B78" s="40"/>
      <c r="C78" s="40"/>
      <c r="D78" s="40"/>
      <c r="E78" s="51"/>
      <c r="F78" s="29"/>
    </row>
    <row r="79" spans="1:7" x14ac:dyDescent="0.25">
      <c r="A79" s="59"/>
      <c r="B79" s="58"/>
      <c r="C79" s="58"/>
      <c r="D79" s="58"/>
      <c r="E79" s="58">
        <f t="shared" ref="E79:E85" si="14">+B79+C79+D79</f>
        <v>0</v>
      </c>
      <c r="F79" s="29"/>
    </row>
    <row r="80" spans="1:7" x14ac:dyDescent="0.25">
      <c r="A80" s="59"/>
      <c r="B80" s="58"/>
      <c r="C80" s="58"/>
      <c r="D80" s="58"/>
      <c r="E80" s="58">
        <f t="shared" si="14"/>
        <v>0</v>
      </c>
      <c r="F80" s="29"/>
    </row>
    <row r="81" spans="1:34" ht="18.75" x14ac:dyDescent="0.4">
      <c r="A81" s="32" t="s">
        <v>112</v>
      </c>
      <c r="B81" s="40"/>
      <c r="C81" s="40"/>
      <c r="D81" s="40"/>
      <c r="E81" s="51"/>
      <c r="F81" s="29"/>
    </row>
    <row r="82" spans="1:34" x14ac:dyDescent="0.25">
      <c r="A82" s="60" t="s">
        <v>120</v>
      </c>
      <c r="B82" s="58">
        <v>11652020.550000001</v>
      </c>
      <c r="C82" s="58"/>
      <c r="D82" s="58"/>
      <c r="E82" s="58">
        <f t="shared" si="14"/>
        <v>11652020.550000001</v>
      </c>
      <c r="F82" s="29"/>
    </row>
    <row r="83" spans="1:34" x14ac:dyDescent="0.25">
      <c r="A83" s="60" t="s">
        <v>121</v>
      </c>
      <c r="B83" s="61">
        <v>185000</v>
      </c>
      <c r="C83" s="58"/>
      <c r="D83" s="58"/>
      <c r="E83" s="58">
        <f t="shared" si="14"/>
        <v>185000</v>
      </c>
      <c r="F83" s="29"/>
    </row>
    <row r="84" spans="1:34" ht="18.75" x14ac:dyDescent="0.4">
      <c r="A84" s="34" t="s">
        <v>113</v>
      </c>
      <c r="B84" s="40"/>
      <c r="C84" s="40"/>
      <c r="D84" s="40"/>
      <c r="E84" s="51"/>
      <c r="F84" s="29"/>
    </row>
    <row r="85" spans="1:34" x14ac:dyDescent="0.25">
      <c r="A85" s="59"/>
      <c r="B85" s="58"/>
      <c r="C85" s="58"/>
      <c r="D85" s="58"/>
      <c r="E85" s="58">
        <f t="shared" si="14"/>
        <v>0</v>
      </c>
      <c r="F85" s="29"/>
    </row>
    <row r="86" spans="1:34" x14ac:dyDescent="0.25">
      <c r="A86" s="9"/>
      <c r="B86" s="40"/>
      <c r="C86" s="40"/>
      <c r="D86" s="40"/>
      <c r="E86" s="51"/>
      <c r="F86" s="29"/>
    </row>
    <row r="87" spans="1:34" ht="18.75" x14ac:dyDescent="0.4">
      <c r="A87" s="169" t="s">
        <v>15</v>
      </c>
      <c r="B87" s="169"/>
      <c r="C87" s="169"/>
      <c r="D87" s="169"/>
      <c r="E87" s="169"/>
      <c r="F87" s="64">
        <v>2021</v>
      </c>
      <c r="G87" s="64"/>
    </row>
    <row r="88" spans="1:34" s="14" customFormat="1" ht="18.75" x14ac:dyDescent="0.4">
      <c r="A88" s="12"/>
      <c r="B88" s="41"/>
      <c r="C88" s="41"/>
      <c r="D88" s="41"/>
      <c r="E88" s="41"/>
      <c r="F88" s="13"/>
      <c r="G88" s="13"/>
    </row>
    <row r="89" spans="1:34" s="14" customFormat="1" ht="30" x14ac:dyDescent="0.25">
      <c r="A89" s="33" t="s">
        <v>105</v>
      </c>
      <c r="B89" s="38" t="s">
        <v>106</v>
      </c>
      <c r="C89" s="38" t="s">
        <v>107</v>
      </c>
      <c r="D89" s="38" t="s">
        <v>108</v>
      </c>
      <c r="E89" s="38" t="s">
        <v>109</v>
      </c>
      <c r="F89" s="13"/>
      <c r="G89" s="13"/>
    </row>
    <row r="90" spans="1:34" s="14" customFormat="1" ht="18.75" x14ac:dyDescent="0.4">
      <c r="A90" s="32" t="s">
        <v>110</v>
      </c>
      <c r="B90" s="71">
        <f>SUM(B91:B113)</f>
        <v>1328744.3</v>
      </c>
      <c r="C90" s="71">
        <f>SUM(C91:C113)</f>
        <v>0</v>
      </c>
      <c r="D90" s="71">
        <f t="shared" ref="D90:E90" si="15">SUM(D91:D113)</f>
        <v>0</v>
      </c>
      <c r="E90" s="71">
        <f t="shared" si="15"/>
        <v>1328744.3</v>
      </c>
      <c r="F90" s="13">
        <v>2021</v>
      </c>
      <c r="G90" s="13"/>
    </row>
    <row r="91" spans="1:34" s="3" customFormat="1" ht="11.25" customHeight="1" x14ac:dyDescent="0.15">
      <c r="A91" s="57" t="s">
        <v>1</v>
      </c>
      <c r="B91" s="52">
        <v>98682</v>
      </c>
      <c r="C91" s="58"/>
      <c r="D91" s="58"/>
      <c r="E91" s="58">
        <f>+B91+C91+D91</f>
        <v>98682</v>
      </c>
      <c r="F91" s="65">
        <v>98682</v>
      </c>
      <c r="G91" s="4"/>
      <c r="I91" s="4"/>
      <c r="K91" s="4"/>
      <c r="M91" s="4"/>
      <c r="O91" s="4"/>
      <c r="Q91" s="4"/>
      <c r="S91" s="4"/>
      <c r="U91" s="4"/>
      <c r="W91" s="4"/>
      <c r="Y91" s="4"/>
      <c r="AA91" s="4"/>
      <c r="AC91" s="4"/>
      <c r="AE91" s="4"/>
      <c r="AG91" s="4"/>
    </row>
    <row r="92" spans="1:34" s="3" customFormat="1" ht="11.25" customHeight="1" thickBot="1" x14ac:dyDescent="0.2">
      <c r="A92" s="57" t="s">
        <v>2</v>
      </c>
      <c r="B92" s="52">
        <v>68697</v>
      </c>
      <c r="C92" s="52"/>
      <c r="D92" s="58"/>
      <c r="E92" s="58">
        <f t="shared" ref="E92:E113" si="16">+B92+C92+D92</f>
        <v>68697</v>
      </c>
      <c r="F92" s="65">
        <v>68697</v>
      </c>
      <c r="G92" s="8"/>
      <c r="H92" s="9"/>
      <c r="I92" s="8"/>
      <c r="J92" s="7"/>
      <c r="K92" s="8"/>
      <c r="L92" s="7"/>
      <c r="M92" s="8"/>
      <c r="N92" s="7"/>
      <c r="O92" s="8"/>
      <c r="P92" s="7"/>
      <c r="Q92" s="8"/>
      <c r="R92" s="7"/>
      <c r="S92" s="8"/>
      <c r="T92" s="7"/>
      <c r="U92" s="8"/>
      <c r="V92" s="7"/>
      <c r="W92" s="8"/>
      <c r="X92" s="7"/>
      <c r="Y92" s="8"/>
      <c r="Z92" s="7"/>
      <c r="AA92" s="8"/>
      <c r="AB92" s="7"/>
      <c r="AC92" s="8"/>
      <c r="AD92" s="7"/>
      <c r="AE92" s="8"/>
      <c r="AF92" s="7"/>
      <c r="AG92" s="8"/>
      <c r="AH92" s="7"/>
    </row>
    <row r="93" spans="1:34" ht="15.75" thickBot="1" x14ac:dyDescent="0.3">
      <c r="A93" s="57" t="s">
        <v>16</v>
      </c>
      <c r="B93" s="67">
        <v>261</v>
      </c>
      <c r="C93" s="58"/>
      <c r="D93" s="58"/>
      <c r="E93" s="58">
        <f t="shared" si="16"/>
        <v>261</v>
      </c>
      <c r="F93" s="66">
        <v>261</v>
      </c>
    </row>
    <row r="94" spans="1:34" ht="15.75" thickBot="1" x14ac:dyDescent="0.3">
      <c r="A94" s="57" t="s">
        <v>4</v>
      </c>
      <c r="B94" s="67">
        <v>8381</v>
      </c>
      <c r="C94" s="58"/>
      <c r="D94" s="58"/>
      <c r="E94" s="58">
        <f t="shared" si="16"/>
        <v>8381</v>
      </c>
      <c r="F94" s="66">
        <v>8381</v>
      </c>
    </row>
    <row r="95" spans="1:34" ht="15.75" thickBot="1" x14ac:dyDescent="0.3">
      <c r="A95" s="57" t="s">
        <v>17</v>
      </c>
      <c r="B95" s="67">
        <v>45291</v>
      </c>
      <c r="C95" s="58"/>
      <c r="D95" s="58"/>
      <c r="E95" s="58">
        <f t="shared" si="16"/>
        <v>45291</v>
      </c>
      <c r="F95" s="66">
        <v>45291</v>
      </c>
    </row>
    <row r="96" spans="1:34" ht="15.75" thickBot="1" x14ac:dyDescent="0.3">
      <c r="A96" s="57" t="s">
        <v>18</v>
      </c>
      <c r="B96" s="67">
        <v>22781</v>
      </c>
      <c r="C96" s="58"/>
      <c r="D96" s="58"/>
      <c r="E96" s="58">
        <f t="shared" si="16"/>
        <v>22781</v>
      </c>
      <c r="F96" s="66">
        <v>22781</v>
      </c>
    </row>
    <row r="97" spans="1:6" ht="15.75" thickBot="1" x14ac:dyDescent="0.3">
      <c r="A97" s="57" t="s">
        <v>6</v>
      </c>
      <c r="B97" s="67">
        <v>29773</v>
      </c>
      <c r="C97" s="58"/>
      <c r="D97" s="58"/>
      <c r="E97" s="58">
        <f t="shared" si="16"/>
        <v>29773</v>
      </c>
      <c r="F97" s="66">
        <v>29773</v>
      </c>
    </row>
    <row r="98" spans="1:6" ht="15.75" thickBot="1" x14ac:dyDescent="0.3">
      <c r="A98" s="57" t="s">
        <v>19</v>
      </c>
      <c r="B98" s="67">
        <v>46355</v>
      </c>
      <c r="C98" s="58"/>
      <c r="D98" s="58"/>
      <c r="E98" s="58">
        <f t="shared" si="16"/>
        <v>46355</v>
      </c>
      <c r="F98" s="66">
        <v>46355</v>
      </c>
    </row>
    <row r="99" spans="1:6" ht="15.75" thickBot="1" x14ac:dyDescent="0.3">
      <c r="A99" s="57" t="s">
        <v>20</v>
      </c>
      <c r="B99" s="67">
        <v>4987</v>
      </c>
      <c r="C99" s="58"/>
      <c r="D99" s="58"/>
      <c r="E99" s="58">
        <f t="shared" si="16"/>
        <v>4987</v>
      </c>
      <c r="F99" s="66">
        <v>4987</v>
      </c>
    </row>
    <row r="100" spans="1:6" ht="15.75" thickBot="1" x14ac:dyDescent="0.3">
      <c r="A100" s="57" t="s">
        <v>21</v>
      </c>
      <c r="B100" s="67">
        <v>51896</v>
      </c>
      <c r="C100" s="58"/>
      <c r="D100" s="58"/>
      <c r="E100" s="58">
        <f t="shared" si="16"/>
        <v>51896</v>
      </c>
      <c r="F100" s="66">
        <v>51896</v>
      </c>
    </row>
    <row r="101" spans="1:6" ht="15.75" thickBot="1" x14ac:dyDescent="0.3">
      <c r="A101" s="57" t="s">
        <v>22</v>
      </c>
      <c r="B101" s="67">
        <v>3420</v>
      </c>
      <c r="C101" s="58"/>
      <c r="D101" s="58"/>
      <c r="E101" s="58">
        <f t="shared" si="16"/>
        <v>3420</v>
      </c>
      <c r="F101" s="66">
        <v>3420</v>
      </c>
    </row>
    <row r="102" spans="1:6" ht="15.75" thickBot="1" x14ac:dyDescent="0.3">
      <c r="A102" s="57" t="s">
        <v>23</v>
      </c>
      <c r="B102" s="67">
        <v>4934</v>
      </c>
      <c r="C102" s="58"/>
      <c r="D102" s="58"/>
      <c r="E102" s="58">
        <f t="shared" si="16"/>
        <v>4934</v>
      </c>
      <c r="F102" s="66">
        <v>4934</v>
      </c>
    </row>
    <row r="103" spans="1:6" ht="15.75" thickBot="1" x14ac:dyDescent="0.3">
      <c r="A103" s="62" t="s">
        <v>24</v>
      </c>
      <c r="B103" s="67">
        <v>4775</v>
      </c>
      <c r="C103" s="58"/>
      <c r="D103" s="58"/>
      <c r="E103" s="58">
        <f t="shared" si="16"/>
        <v>4775</v>
      </c>
      <c r="F103" s="66">
        <v>4775</v>
      </c>
    </row>
    <row r="104" spans="1:6" ht="15.75" thickBot="1" x14ac:dyDescent="0.3">
      <c r="A104" s="57" t="s">
        <v>25</v>
      </c>
      <c r="B104" s="67">
        <v>4274</v>
      </c>
      <c r="C104" s="58"/>
      <c r="D104" s="58"/>
      <c r="E104" s="58">
        <f t="shared" si="16"/>
        <v>4274</v>
      </c>
      <c r="F104" s="66">
        <v>4274</v>
      </c>
    </row>
    <row r="105" spans="1:6" ht="15.75" thickBot="1" x14ac:dyDescent="0.3">
      <c r="A105" s="57" t="s">
        <v>8</v>
      </c>
      <c r="B105" s="67">
        <v>12639</v>
      </c>
      <c r="C105" s="58"/>
      <c r="D105" s="58"/>
      <c r="E105" s="58">
        <f t="shared" si="16"/>
        <v>12639</v>
      </c>
      <c r="F105" s="66">
        <v>12639</v>
      </c>
    </row>
    <row r="106" spans="1:6" ht="15.75" thickBot="1" x14ac:dyDescent="0.3">
      <c r="A106" s="57" t="s">
        <v>9</v>
      </c>
      <c r="B106" s="67">
        <v>6175</v>
      </c>
      <c r="C106" s="58"/>
      <c r="D106" s="58"/>
      <c r="E106" s="58">
        <f t="shared" si="16"/>
        <v>6175</v>
      </c>
      <c r="F106" s="66">
        <v>6175</v>
      </c>
    </row>
    <row r="107" spans="1:6" ht="15.75" thickBot="1" x14ac:dyDescent="0.3">
      <c r="A107" s="57" t="s">
        <v>10</v>
      </c>
      <c r="B107" s="67">
        <v>646225.30000000005</v>
      </c>
      <c r="C107" s="58"/>
      <c r="D107" s="58"/>
      <c r="E107" s="58">
        <f t="shared" si="16"/>
        <v>646225.30000000005</v>
      </c>
      <c r="F107" s="66">
        <v>646225.30000000005</v>
      </c>
    </row>
    <row r="108" spans="1:6" ht="15.75" thickBot="1" x14ac:dyDescent="0.3">
      <c r="A108" s="57" t="s">
        <v>11</v>
      </c>
      <c r="B108" s="67">
        <v>91215</v>
      </c>
      <c r="C108" s="58"/>
      <c r="D108" s="58"/>
      <c r="E108" s="58">
        <f t="shared" si="16"/>
        <v>91215</v>
      </c>
      <c r="F108" s="66">
        <v>91215</v>
      </c>
    </row>
    <row r="109" spans="1:6" ht="15.75" thickBot="1" x14ac:dyDescent="0.3">
      <c r="A109" s="57" t="s">
        <v>26</v>
      </c>
      <c r="B109" s="67">
        <v>166</v>
      </c>
      <c r="C109" s="58"/>
      <c r="D109" s="58"/>
      <c r="E109" s="58">
        <f t="shared" si="16"/>
        <v>166</v>
      </c>
      <c r="F109" s="66">
        <v>166</v>
      </c>
    </row>
    <row r="110" spans="1:6" ht="15.75" thickBot="1" x14ac:dyDescent="0.3">
      <c r="A110" s="57" t="s">
        <v>12</v>
      </c>
      <c r="B110" s="67">
        <v>4861</v>
      </c>
      <c r="C110" s="58"/>
      <c r="D110" s="58"/>
      <c r="E110" s="58">
        <f t="shared" si="16"/>
        <v>4861</v>
      </c>
      <c r="F110" s="66">
        <v>4861</v>
      </c>
    </row>
    <row r="111" spans="1:6" ht="15.75" thickBot="1" x14ac:dyDescent="0.3">
      <c r="A111" s="57" t="s">
        <v>13</v>
      </c>
      <c r="B111" s="67">
        <v>217</v>
      </c>
      <c r="C111" s="58"/>
      <c r="D111" s="58"/>
      <c r="E111" s="58">
        <f t="shared" si="16"/>
        <v>217</v>
      </c>
      <c r="F111" s="66">
        <v>217</v>
      </c>
    </row>
    <row r="112" spans="1:6" ht="15.75" thickBot="1" x14ac:dyDescent="0.3">
      <c r="A112" s="57" t="s">
        <v>27</v>
      </c>
      <c r="B112" s="67">
        <v>51380</v>
      </c>
      <c r="C112" s="58"/>
      <c r="D112" s="58"/>
      <c r="E112" s="58">
        <f t="shared" si="16"/>
        <v>51380</v>
      </c>
      <c r="F112" s="66">
        <v>51380</v>
      </c>
    </row>
    <row r="113" spans="1:7" ht="15.75" thickBot="1" x14ac:dyDescent="0.3">
      <c r="A113" s="57" t="s">
        <v>28</v>
      </c>
      <c r="B113" s="67">
        <v>121359</v>
      </c>
      <c r="C113" s="63"/>
      <c r="D113" s="58"/>
      <c r="E113" s="58">
        <f t="shared" si="16"/>
        <v>121359</v>
      </c>
      <c r="F113" s="66">
        <v>121359</v>
      </c>
    </row>
    <row r="114" spans="1:7" x14ac:dyDescent="0.25">
      <c r="A114" s="9"/>
      <c r="B114" s="40"/>
      <c r="C114" s="40"/>
      <c r="D114" s="40"/>
      <c r="E114" s="51"/>
      <c r="F114" s="29" t="s">
        <v>75</v>
      </c>
    </row>
    <row r="115" spans="1:7" ht="18.75" x14ac:dyDescent="0.4">
      <c r="A115" s="32" t="s">
        <v>111</v>
      </c>
      <c r="B115" s="40"/>
      <c r="C115" s="40"/>
      <c r="D115" s="40"/>
      <c r="E115" s="51"/>
      <c r="F115" s="29"/>
    </row>
    <row r="116" spans="1:7" x14ac:dyDescent="0.25">
      <c r="A116" s="59"/>
      <c r="B116" s="58"/>
      <c r="C116" s="58"/>
      <c r="D116" s="58"/>
      <c r="E116" s="58">
        <f t="shared" ref="E116:E117" si="17">+B116+C116+D116</f>
        <v>0</v>
      </c>
      <c r="F116" s="29"/>
    </row>
    <row r="117" spans="1:7" x14ac:dyDescent="0.25">
      <c r="A117" s="59"/>
      <c r="B117" s="58"/>
      <c r="C117" s="58"/>
      <c r="D117" s="58"/>
      <c r="E117" s="58">
        <f t="shared" si="17"/>
        <v>0</v>
      </c>
      <c r="F117" s="29"/>
    </row>
    <row r="118" spans="1:7" ht="18.75" x14ac:dyDescent="0.4">
      <c r="A118" s="32" t="s">
        <v>112</v>
      </c>
      <c r="B118" s="40"/>
      <c r="C118" s="40"/>
      <c r="D118" s="40"/>
      <c r="E118" s="51"/>
      <c r="F118" s="29"/>
    </row>
    <row r="119" spans="1:7" x14ac:dyDescent="0.25">
      <c r="A119" s="60" t="s">
        <v>120</v>
      </c>
      <c r="B119" s="58">
        <v>0</v>
      </c>
      <c r="C119" s="58"/>
      <c r="D119" s="58"/>
      <c r="E119" s="58">
        <f t="shared" ref="E119:E120" si="18">+B119+C119+D119</f>
        <v>0</v>
      </c>
      <c r="F119" s="29"/>
    </row>
    <row r="120" spans="1:7" x14ac:dyDescent="0.25">
      <c r="A120" s="60" t="s">
        <v>121</v>
      </c>
      <c r="B120" s="61">
        <v>0</v>
      </c>
      <c r="C120" s="58"/>
      <c r="D120" s="58"/>
      <c r="E120" s="58">
        <f t="shared" si="18"/>
        <v>0</v>
      </c>
      <c r="F120" s="29"/>
    </row>
    <row r="121" spans="1:7" ht="18.75" x14ac:dyDescent="0.4">
      <c r="A121" s="34" t="s">
        <v>113</v>
      </c>
      <c r="B121" s="40"/>
      <c r="C121" s="40"/>
      <c r="D121" s="40"/>
      <c r="E121" s="51"/>
      <c r="F121" s="29"/>
    </row>
    <row r="122" spans="1:7" x14ac:dyDescent="0.25">
      <c r="A122" s="59"/>
      <c r="B122" s="58"/>
      <c r="C122" s="58"/>
      <c r="D122" s="58"/>
      <c r="E122" s="58">
        <f t="shared" ref="E122" si="19">+B122+C122+D122</f>
        <v>0</v>
      </c>
      <c r="F122" s="29"/>
    </row>
    <row r="123" spans="1:7" x14ac:dyDescent="0.25">
      <c r="A123" s="9"/>
      <c r="B123" s="40"/>
      <c r="C123" s="40"/>
      <c r="D123" s="40"/>
      <c r="E123" s="51"/>
      <c r="F123" s="29"/>
    </row>
    <row r="124" spans="1:7" x14ac:dyDescent="0.25">
      <c r="A124" s="9"/>
      <c r="B124" s="40"/>
      <c r="C124" s="40"/>
      <c r="D124" s="40"/>
      <c r="E124" s="51"/>
      <c r="F124" s="29"/>
    </row>
    <row r="125" spans="1:7" ht="18.75" x14ac:dyDescent="0.4">
      <c r="A125" s="169" t="s">
        <v>29</v>
      </c>
      <c r="B125" s="169"/>
      <c r="C125" s="169"/>
      <c r="D125" s="169"/>
      <c r="E125" s="169"/>
      <c r="F125" s="69" t="s">
        <v>122</v>
      </c>
      <c r="G125" s="69"/>
    </row>
    <row r="126" spans="1:7" s="14" customFormat="1" ht="18.75" x14ac:dyDescent="0.4">
      <c r="A126" s="12"/>
      <c r="B126" s="42"/>
      <c r="C126" s="42"/>
      <c r="D126" s="42"/>
      <c r="E126" s="42"/>
      <c r="F126" s="12"/>
      <c r="G126" s="12"/>
    </row>
    <row r="127" spans="1:7" s="14" customFormat="1" ht="30" x14ac:dyDescent="0.4">
      <c r="A127" s="33" t="s">
        <v>105</v>
      </c>
      <c r="B127" s="38" t="s">
        <v>106</v>
      </c>
      <c r="C127" s="38" t="s">
        <v>107</v>
      </c>
      <c r="D127" s="38" t="s">
        <v>108</v>
      </c>
      <c r="E127" s="38" t="s">
        <v>109</v>
      </c>
      <c r="F127" s="12"/>
      <c r="G127" s="12"/>
    </row>
    <row r="128" spans="1:7" s="14" customFormat="1" ht="18.75" x14ac:dyDescent="0.4">
      <c r="A128" s="32" t="s">
        <v>110</v>
      </c>
      <c r="B128" s="37">
        <f>SUM(B129:B176)</f>
        <v>4212631.9000000004</v>
      </c>
      <c r="C128" s="134">
        <f t="shared" ref="C128:E128" si="20">SUM(C129:C176)</f>
        <v>5058667.7600000007</v>
      </c>
      <c r="D128" s="37">
        <f t="shared" si="20"/>
        <v>0</v>
      </c>
      <c r="E128" s="37">
        <f t="shared" si="20"/>
        <v>9271299.6600000001</v>
      </c>
      <c r="F128" s="12"/>
      <c r="G128" s="12"/>
    </row>
    <row r="129" spans="1:37" s="3" customFormat="1" ht="11.25" customHeight="1" x14ac:dyDescent="0.15">
      <c r="A129" s="59" t="s">
        <v>1</v>
      </c>
      <c r="B129" s="52">
        <f>376461-C129</f>
        <v>185342</v>
      </c>
      <c r="C129" s="58">
        <v>191119</v>
      </c>
      <c r="D129" s="58"/>
      <c r="E129" s="58">
        <f>+B129+C129+D129</f>
        <v>376461</v>
      </c>
      <c r="F129" s="65">
        <v>206461</v>
      </c>
      <c r="G129" s="5"/>
      <c r="I129" s="4"/>
      <c r="K129" s="4"/>
      <c r="M129" s="4"/>
      <c r="O129" s="4"/>
      <c r="Q129" s="4"/>
      <c r="S129" s="4"/>
      <c r="U129" s="4"/>
      <c r="W129" s="4"/>
      <c r="Y129" s="4"/>
      <c r="AA129" s="4"/>
      <c r="AC129" s="4"/>
      <c r="AE129" s="4"/>
      <c r="AG129" s="4"/>
    </row>
    <row r="130" spans="1:37" s="3" customFormat="1" ht="11.25" customHeight="1" thickBot="1" x14ac:dyDescent="0.2">
      <c r="A130" s="59" t="s">
        <v>2</v>
      </c>
      <c r="B130" s="52">
        <f>222967-C130</f>
        <v>172836</v>
      </c>
      <c r="C130" s="52">
        <v>50131</v>
      </c>
      <c r="D130" s="58"/>
      <c r="E130" s="58">
        <f t="shared" ref="E130:E158" si="21">+B130+C130+D130</f>
        <v>222967</v>
      </c>
      <c r="F130" s="65">
        <v>150967</v>
      </c>
      <c r="G130" s="8"/>
      <c r="H130" s="9"/>
      <c r="I130" s="8"/>
      <c r="J130" s="7"/>
      <c r="K130" s="8"/>
      <c r="L130" s="7"/>
      <c r="M130" s="8"/>
      <c r="N130" s="7"/>
      <c r="O130" s="8"/>
      <c r="P130" s="7"/>
      <c r="Q130" s="8"/>
      <c r="R130" s="7"/>
      <c r="S130" s="8"/>
      <c r="T130" s="7"/>
      <c r="U130" s="8"/>
      <c r="V130" s="7"/>
      <c r="W130" s="8"/>
      <c r="X130" s="7"/>
      <c r="Y130" s="8"/>
      <c r="Z130" s="7"/>
      <c r="AA130" s="8"/>
      <c r="AB130" s="7"/>
      <c r="AC130" s="8"/>
      <c r="AD130" s="7"/>
      <c r="AE130" s="8"/>
      <c r="AF130" s="7"/>
      <c r="AG130" s="8"/>
      <c r="AH130" s="7"/>
    </row>
    <row r="131" spans="1:37" s="3" customFormat="1" ht="11.25" customHeight="1" thickBot="1" x14ac:dyDescent="0.2">
      <c r="A131" s="59" t="s">
        <v>4</v>
      </c>
      <c r="B131" s="67">
        <v>72360</v>
      </c>
      <c r="C131" s="58"/>
      <c r="D131" s="58"/>
      <c r="E131" s="58">
        <f t="shared" ref="E131" si="22">+B131+C131+D131</f>
        <v>72360</v>
      </c>
      <c r="F131" s="66">
        <v>72360</v>
      </c>
      <c r="G131" s="8"/>
      <c r="H131" s="9"/>
      <c r="I131" s="8"/>
      <c r="J131" s="7"/>
      <c r="K131" s="8"/>
      <c r="L131" s="7"/>
      <c r="M131" s="8"/>
      <c r="N131" s="7"/>
      <c r="O131" s="8"/>
      <c r="P131" s="7"/>
      <c r="Q131" s="8"/>
      <c r="R131" s="7"/>
      <c r="S131" s="8"/>
      <c r="T131" s="7"/>
      <c r="U131" s="8"/>
      <c r="V131" s="7"/>
      <c r="W131" s="8"/>
      <c r="X131" s="7"/>
      <c r="Y131" s="8"/>
      <c r="Z131" s="7"/>
      <c r="AA131" s="8"/>
      <c r="AB131" s="7"/>
      <c r="AC131" s="8"/>
      <c r="AD131" s="7"/>
      <c r="AE131" s="8"/>
      <c r="AF131" s="7"/>
      <c r="AG131" s="8"/>
      <c r="AH131" s="7"/>
    </row>
    <row r="132" spans="1:37" s="3" customFormat="1" ht="11.25" customHeight="1" x14ac:dyDescent="0.25">
      <c r="A132" s="87" t="s">
        <v>166</v>
      </c>
      <c r="B132" s="58">
        <v>34400</v>
      </c>
      <c r="C132" s="68"/>
      <c r="D132" s="50"/>
      <c r="E132" s="58">
        <f t="shared" si="21"/>
        <v>34400</v>
      </c>
      <c r="F132" s="40"/>
      <c r="G132"/>
      <c r="H132" s="9"/>
      <c r="I132" s="8"/>
      <c r="J132" s="7"/>
      <c r="K132" s="8"/>
      <c r="L132" s="7"/>
      <c r="M132" s="8"/>
      <c r="N132" s="7"/>
      <c r="O132" s="8"/>
      <c r="P132" s="7"/>
      <c r="Q132" s="8"/>
      <c r="R132" s="7"/>
      <c r="S132" s="8"/>
      <c r="T132" s="7"/>
      <c r="U132" s="8"/>
      <c r="V132" s="7"/>
      <c r="W132" s="8"/>
      <c r="X132" s="7"/>
      <c r="Y132" s="8"/>
      <c r="Z132" s="7"/>
      <c r="AA132" s="8"/>
      <c r="AB132" s="7"/>
      <c r="AC132" s="8"/>
      <c r="AD132" s="7"/>
      <c r="AE132" s="8"/>
      <c r="AF132" s="7"/>
      <c r="AG132" s="8"/>
      <c r="AH132" s="7"/>
      <c r="AK132" s="10"/>
    </row>
    <row r="133" spans="1:37" s="3" customFormat="1" ht="11.25" customHeight="1" x14ac:dyDescent="0.25">
      <c r="A133" s="59" t="s">
        <v>17</v>
      </c>
      <c r="B133" s="58">
        <f>432390-C133</f>
        <v>99981</v>
      </c>
      <c r="C133" s="68">
        <v>332409</v>
      </c>
      <c r="D133" s="50"/>
      <c r="E133" s="58">
        <f t="shared" si="21"/>
        <v>432390</v>
      </c>
      <c r="F133" s="40"/>
      <c r="G133"/>
      <c r="H133" s="9"/>
      <c r="I133" s="8"/>
      <c r="J133" s="7"/>
      <c r="K133" s="8"/>
      <c r="L133" s="7"/>
      <c r="M133" s="8"/>
      <c r="N133" s="7"/>
      <c r="O133" s="8"/>
      <c r="P133" s="7"/>
      <c r="Q133" s="8"/>
      <c r="R133" s="7"/>
      <c r="S133" s="8"/>
      <c r="T133" s="7"/>
      <c r="U133" s="8"/>
      <c r="V133" s="7"/>
      <c r="W133" s="8"/>
      <c r="X133" s="7"/>
      <c r="Y133" s="8"/>
      <c r="Z133" s="7"/>
      <c r="AA133" s="8"/>
      <c r="AB133" s="7"/>
      <c r="AC133" s="8"/>
      <c r="AD133" s="7"/>
      <c r="AE133" s="8"/>
      <c r="AF133" s="7"/>
      <c r="AG133" s="8"/>
      <c r="AH133" s="7"/>
      <c r="AK133" s="10"/>
    </row>
    <row r="134" spans="1:37" s="3" customFormat="1" ht="11.25" customHeight="1" thickBot="1" x14ac:dyDescent="0.3">
      <c r="A134" s="60" t="s">
        <v>162</v>
      </c>
      <c r="B134" s="58">
        <f>12603.8-C134</f>
        <v>4275</v>
      </c>
      <c r="C134" s="93">
        <v>8328.7999999999993</v>
      </c>
      <c r="D134" s="50"/>
      <c r="E134" s="58">
        <f t="shared" si="21"/>
        <v>12603.8</v>
      </c>
      <c r="F134" s="40"/>
      <c r="G134"/>
      <c r="H134" s="9"/>
      <c r="I134" s="8"/>
      <c r="J134" s="7"/>
      <c r="K134" s="8"/>
      <c r="L134" s="7"/>
      <c r="M134" s="8"/>
      <c r="N134" s="7"/>
      <c r="O134" s="8"/>
      <c r="P134" s="7"/>
      <c r="Q134" s="8"/>
      <c r="R134" s="7"/>
      <c r="S134" s="8"/>
      <c r="T134" s="7"/>
      <c r="U134" s="8"/>
      <c r="V134" s="7"/>
      <c r="W134" s="8"/>
      <c r="X134" s="7"/>
      <c r="Y134" s="8"/>
      <c r="Z134" s="7"/>
      <c r="AA134" s="8"/>
      <c r="AB134" s="7"/>
      <c r="AC134" s="8"/>
      <c r="AD134" s="7"/>
      <c r="AE134" s="8"/>
      <c r="AF134" s="7"/>
      <c r="AG134" s="8"/>
      <c r="AH134" s="7"/>
      <c r="AK134" s="10"/>
    </row>
    <row r="135" spans="1:37" ht="15.75" thickBot="1" x14ac:dyDescent="0.3">
      <c r="A135" s="59" t="s">
        <v>18</v>
      </c>
      <c r="B135" s="67">
        <f>250843-C135</f>
        <v>203126</v>
      </c>
      <c r="C135" s="58">
        <v>47717</v>
      </c>
      <c r="D135" s="58"/>
      <c r="E135" s="58">
        <f t="shared" si="21"/>
        <v>250843</v>
      </c>
      <c r="F135" s="66">
        <v>68343</v>
      </c>
    </row>
    <row r="136" spans="1:37" ht="15.75" thickBot="1" x14ac:dyDescent="0.3">
      <c r="A136" s="59" t="s">
        <v>6</v>
      </c>
      <c r="B136" s="67">
        <f>178626-C136</f>
        <v>133198</v>
      </c>
      <c r="C136" s="58">
        <v>45428</v>
      </c>
      <c r="D136" s="58"/>
      <c r="E136" s="58">
        <f t="shared" si="21"/>
        <v>178626</v>
      </c>
      <c r="F136" s="66">
        <v>159626</v>
      </c>
    </row>
    <row r="137" spans="1:37" ht="15.75" thickBot="1" x14ac:dyDescent="0.3">
      <c r="A137" s="59" t="s">
        <v>30</v>
      </c>
      <c r="B137" s="67">
        <f>98906-C137</f>
        <v>9364</v>
      </c>
      <c r="C137" s="58">
        <v>89542</v>
      </c>
      <c r="D137" s="58"/>
      <c r="E137" s="58">
        <f t="shared" si="21"/>
        <v>98906</v>
      </c>
      <c r="F137" s="66">
        <v>166906</v>
      </c>
    </row>
    <row r="138" spans="1:37" ht="15.75" thickBot="1" x14ac:dyDescent="0.3">
      <c r="A138" s="59" t="s">
        <v>20</v>
      </c>
      <c r="B138" s="73">
        <f>31154-C138</f>
        <v>27799</v>
      </c>
      <c r="C138" s="58">
        <v>3355</v>
      </c>
      <c r="D138" s="58"/>
      <c r="E138" s="58">
        <f t="shared" si="21"/>
        <v>31154</v>
      </c>
      <c r="F138" s="66">
        <v>31154</v>
      </c>
    </row>
    <row r="139" spans="1:37" ht="15.75" thickBot="1" x14ac:dyDescent="0.3">
      <c r="A139" s="118" t="s">
        <v>19</v>
      </c>
      <c r="B139" s="67">
        <v>7200</v>
      </c>
      <c r="C139" s="58"/>
      <c r="D139" s="58"/>
      <c r="E139" s="58">
        <f t="shared" si="21"/>
        <v>7200</v>
      </c>
      <c r="F139" s="66">
        <v>7200</v>
      </c>
    </row>
    <row r="140" spans="1:37" ht="15.75" thickBot="1" x14ac:dyDescent="0.3">
      <c r="A140" s="59" t="s">
        <v>21</v>
      </c>
      <c r="B140" s="67">
        <v>0</v>
      </c>
      <c r="C140" s="67">
        <v>115692</v>
      </c>
      <c r="D140" s="58"/>
      <c r="E140" s="58">
        <f t="shared" si="21"/>
        <v>115692</v>
      </c>
      <c r="F140" s="66">
        <v>135692</v>
      </c>
    </row>
    <row r="141" spans="1:37" ht="15.75" thickBot="1" x14ac:dyDescent="0.3">
      <c r="A141" s="117" t="s">
        <v>169</v>
      </c>
      <c r="B141" s="74">
        <v>0</v>
      </c>
      <c r="C141" s="74">
        <v>269776.88</v>
      </c>
      <c r="D141" s="58"/>
      <c r="E141" s="58">
        <f t="shared" si="21"/>
        <v>269776.88</v>
      </c>
      <c r="F141" s="66">
        <v>10262</v>
      </c>
    </row>
    <row r="142" spans="1:37" ht="15.75" thickBot="1" x14ac:dyDescent="0.3">
      <c r="A142" s="59" t="s">
        <v>23</v>
      </c>
      <c r="B142" s="67">
        <v>4804</v>
      </c>
      <c r="C142" s="58"/>
      <c r="D142" s="58"/>
      <c r="E142" s="58">
        <f t="shared" si="21"/>
        <v>4804</v>
      </c>
      <c r="F142" s="66">
        <v>14804</v>
      </c>
    </row>
    <row r="143" spans="1:37" ht="15.75" thickBot="1" x14ac:dyDescent="0.3">
      <c r="A143" s="59" t="s">
        <v>31</v>
      </c>
      <c r="B143" s="67">
        <f>80452-C143</f>
        <v>79041</v>
      </c>
      <c r="C143" s="58">
        <v>1411</v>
      </c>
      <c r="D143" s="58"/>
      <c r="E143" s="58">
        <f t="shared" si="21"/>
        <v>80452</v>
      </c>
      <c r="F143" s="66">
        <v>69452</v>
      </c>
    </row>
    <row r="144" spans="1:37" ht="15.75" thickBot="1" x14ac:dyDescent="0.3">
      <c r="A144" s="59" t="s">
        <v>32</v>
      </c>
      <c r="B144" s="67">
        <f>30377-C144</f>
        <v>10088</v>
      </c>
      <c r="C144" s="58">
        <v>20289</v>
      </c>
      <c r="D144" s="58"/>
      <c r="E144" s="58">
        <f t="shared" si="21"/>
        <v>30377</v>
      </c>
      <c r="F144" s="66">
        <v>55377</v>
      </c>
    </row>
    <row r="145" spans="1:8" ht="15.75" thickBot="1" x14ac:dyDescent="0.3">
      <c r="A145" s="59" t="s">
        <v>8</v>
      </c>
      <c r="B145" s="67">
        <f>72915-C145</f>
        <v>35724</v>
      </c>
      <c r="C145" s="58">
        <v>37191</v>
      </c>
      <c r="D145" s="58"/>
      <c r="E145" s="58">
        <f t="shared" si="21"/>
        <v>72915</v>
      </c>
      <c r="F145" s="66">
        <v>115915</v>
      </c>
    </row>
    <row r="146" spans="1:8" ht="15.75" thickBot="1" x14ac:dyDescent="0.3">
      <c r="A146" s="60" t="s">
        <v>167</v>
      </c>
      <c r="B146" s="67">
        <f>59720.8-C146</f>
        <v>3528.8000000000029</v>
      </c>
      <c r="C146" s="58">
        <v>56192</v>
      </c>
      <c r="D146" s="58"/>
      <c r="E146" s="58">
        <f t="shared" si="21"/>
        <v>59720.800000000003</v>
      </c>
      <c r="F146" s="66"/>
    </row>
    <row r="147" spans="1:8" ht="15.75" thickBot="1" x14ac:dyDescent="0.3">
      <c r="A147" s="59" t="s">
        <v>9</v>
      </c>
      <c r="B147" s="67">
        <f>258377-C147</f>
        <v>185200</v>
      </c>
      <c r="C147" s="58">
        <v>73177</v>
      </c>
      <c r="D147" s="58"/>
      <c r="E147" s="58">
        <f t="shared" si="21"/>
        <v>258377</v>
      </c>
      <c r="F147" s="66">
        <v>95377</v>
      </c>
    </row>
    <row r="148" spans="1:8" ht="15.75" thickBot="1" x14ac:dyDescent="0.3">
      <c r="A148" s="59" t="s">
        <v>73</v>
      </c>
      <c r="B148" s="67">
        <f>21093.5-C148</f>
        <v>6158.5</v>
      </c>
      <c r="C148" s="58">
        <v>14935</v>
      </c>
      <c r="D148" s="58"/>
      <c r="E148" s="58">
        <f t="shared" si="21"/>
        <v>21093.5</v>
      </c>
      <c r="F148" s="66"/>
    </row>
    <row r="149" spans="1:8" ht="15.75" thickBot="1" x14ac:dyDescent="0.3">
      <c r="A149" s="60" t="s">
        <v>168</v>
      </c>
      <c r="B149" s="67">
        <v>0</v>
      </c>
      <c r="C149" s="67">
        <v>73374.899999999994</v>
      </c>
      <c r="D149" s="58"/>
      <c r="E149" s="58">
        <f t="shared" si="21"/>
        <v>73374.899999999994</v>
      </c>
      <c r="F149" s="66"/>
    </row>
    <row r="150" spans="1:8" ht="15.75" thickBot="1" x14ac:dyDescent="0.3">
      <c r="A150" s="59" t="s">
        <v>170</v>
      </c>
      <c r="B150" s="67">
        <v>0</v>
      </c>
      <c r="C150" s="67">
        <v>119394.78</v>
      </c>
      <c r="D150" s="58"/>
      <c r="E150" s="58">
        <f t="shared" si="21"/>
        <v>119394.78</v>
      </c>
      <c r="F150" s="66">
        <v>9874</v>
      </c>
    </row>
    <row r="151" spans="1:8" ht="15.75" thickBot="1" x14ac:dyDescent="0.3">
      <c r="A151" s="59" t="s">
        <v>10</v>
      </c>
      <c r="B151" s="67">
        <f>3659865.6-646225-C151</f>
        <v>2245942.6</v>
      </c>
      <c r="C151" s="58">
        <v>767698</v>
      </c>
      <c r="D151" s="58"/>
      <c r="E151" s="58">
        <f t="shared" si="21"/>
        <v>3013640.6</v>
      </c>
      <c r="F151" s="66">
        <v>678175</v>
      </c>
    </row>
    <row r="152" spans="1:8" ht="15.75" thickBot="1" x14ac:dyDescent="0.3">
      <c r="A152" s="59" t="s">
        <v>11</v>
      </c>
      <c r="B152" s="67">
        <f>265553-C152</f>
        <v>27767</v>
      </c>
      <c r="C152" s="58">
        <v>237786</v>
      </c>
      <c r="D152" s="58"/>
      <c r="E152" s="58">
        <f t="shared" si="21"/>
        <v>265553</v>
      </c>
      <c r="F152" s="66">
        <v>65553</v>
      </c>
    </row>
    <row r="153" spans="1:8" ht="15.75" thickBot="1" x14ac:dyDescent="0.3">
      <c r="A153" s="59" t="s">
        <v>12</v>
      </c>
      <c r="B153" s="67">
        <f>42201-C153</f>
        <v>33390</v>
      </c>
      <c r="C153" s="58">
        <v>8811</v>
      </c>
      <c r="D153" s="58"/>
      <c r="E153" s="58">
        <f t="shared" si="21"/>
        <v>42201</v>
      </c>
      <c r="F153" s="66">
        <v>32201</v>
      </c>
    </row>
    <row r="154" spans="1:8" ht="15.75" thickBot="1" x14ac:dyDescent="0.3">
      <c r="A154" s="59" t="s">
        <v>13</v>
      </c>
      <c r="B154" s="67">
        <f>77215-C154</f>
        <v>64122</v>
      </c>
      <c r="C154" s="58">
        <v>13093</v>
      </c>
      <c r="D154" s="58"/>
      <c r="E154" s="58">
        <f t="shared" si="21"/>
        <v>77215</v>
      </c>
      <c r="F154" s="66">
        <v>27215</v>
      </c>
    </row>
    <row r="155" spans="1:8" ht="15.75" thickBot="1" x14ac:dyDescent="0.3">
      <c r="A155" s="59" t="s">
        <v>34</v>
      </c>
      <c r="B155" s="67">
        <f>371732-C155</f>
        <v>236437</v>
      </c>
      <c r="C155" s="58">
        <v>135295</v>
      </c>
      <c r="D155" s="58"/>
      <c r="E155" s="58">
        <f t="shared" si="21"/>
        <v>371732</v>
      </c>
      <c r="F155" s="66">
        <v>181732</v>
      </c>
    </row>
    <row r="156" spans="1:8" ht="15.75" thickBot="1" x14ac:dyDescent="0.3">
      <c r="A156" s="59" t="s">
        <v>35</v>
      </c>
      <c r="B156" s="67">
        <f>381307-C156</f>
        <v>313610</v>
      </c>
      <c r="C156" s="58">
        <v>67697</v>
      </c>
      <c r="D156" s="58"/>
      <c r="E156" s="58">
        <f t="shared" si="21"/>
        <v>381307</v>
      </c>
      <c r="F156" s="66">
        <v>191307</v>
      </c>
    </row>
    <row r="157" spans="1:8" ht="15.75" thickBot="1" x14ac:dyDescent="0.3">
      <c r="A157" s="59" t="s">
        <v>36</v>
      </c>
      <c r="B157" s="67">
        <v>0</v>
      </c>
      <c r="C157" s="67">
        <v>46820</v>
      </c>
      <c r="D157" s="58"/>
      <c r="E157" s="58">
        <f t="shared" si="21"/>
        <v>46820</v>
      </c>
      <c r="F157" s="66">
        <v>86820</v>
      </c>
    </row>
    <row r="158" spans="1:8" x14ac:dyDescent="0.25">
      <c r="A158" s="59" t="s">
        <v>5</v>
      </c>
      <c r="B158" s="70"/>
      <c r="C158" s="58"/>
      <c r="D158" s="58"/>
      <c r="E158" s="58">
        <f t="shared" si="21"/>
        <v>0</v>
      </c>
      <c r="F158" s="51"/>
      <c r="G158" s="29">
        <f>SUM(F129:F157)</f>
        <v>2632773</v>
      </c>
      <c r="H158">
        <f>7998729.71+139178.71+2882938.12</f>
        <v>11020846.539999999</v>
      </c>
    </row>
    <row r="159" spans="1:8" x14ac:dyDescent="0.25">
      <c r="A159" s="9"/>
      <c r="B159" s="40"/>
      <c r="C159" s="40"/>
      <c r="D159" s="40"/>
      <c r="E159" s="51"/>
      <c r="F159" s="29">
        <f>SUM(E129:E158)+E164+F177</f>
        <v>9271299.6600000001</v>
      </c>
      <c r="G159" t="s">
        <v>132</v>
      </c>
    </row>
    <row r="160" spans="1:8" ht="18.75" x14ac:dyDescent="0.4">
      <c r="A160" s="32" t="s">
        <v>111</v>
      </c>
      <c r="B160" s="40"/>
      <c r="C160" s="40"/>
      <c r="D160" s="40"/>
      <c r="E160" s="51"/>
      <c r="F160" s="29"/>
    </row>
    <row r="161" spans="1:8" x14ac:dyDescent="0.25">
      <c r="A161" s="59"/>
      <c r="B161" s="58"/>
      <c r="C161" s="58"/>
      <c r="D161" s="58"/>
      <c r="E161" s="58">
        <f t="shared" ref="E161:E162" si="23">+B161+C161+D161</f>
        <v>0</v>
      </c>
      <c r="F161" s="29" t="s">
        <v>148</v>
      </c>
      <c r="G161" s="36">
        <f>+B128+E164+F177</f>
        <v>6461574.3000000007</v>
      </c>
    </row>
    <row r="162" spans="1:8" x14ac:dyDescent="0.25">
      <c r="A162" s="59"/>
      <c r="B162" s="58"/>
      <c r="C162" s="58"/>
      <c r="D162" s="58"/>
      <c r="E162" s="58">
        <f t="shared" si="23"/>
        <v>0</v>
      </c>
      <c r="F162" s="29" t="s">
        <v>147</v>
      </c>
      <c r="G162" s="36">
        <f>+F188</f>
        <v>36050</v>
      </c>
    </row>
    <row r="163" spans="1:8" ht="18.75" x14ac:dyDescent="0.4">
      <c r="A163" s="32" t="s">
        <v>112</v>
      </c>
      <c r="B163" s="40"/>
      <c r="C163" s="40"/>
      <c r="D163" s="40"/>
      <c r="E163" s="51"/>
      <c r="F163" s="29" t="s">
        <v>146</v>
      </c>
      <c r="G163" s="29">
        <f>+G216</f>
        <v>818224.72</v>
      </c>
    </row>
    <row r="164" spans="1:8" x14ac:dyDescent="0.25">
      <c r="A164" s="60" t="s">
        <v>120</v>
      </c>
      <c r="B164" s="58">
        <v>16938</v>
      </c>
      <c r="C164" s="58">
        <v>122241</v>
      </c>
      <c r="D164" s="58"/>
      <c r="E164" s="58">
        <f t="shared" ref="E164:E165" si="24">+B164+C164+D164</f>
        <v>139179</v>
      </c>
      <c r="F164" s="29" t="s">
        <v>149</v>
      </c>
      <c r="G164" s="29">
        <f>+G235</f>
        <v>79050</v>
      </c>
      <c r="H164" s="36" t="s">
        <v>75</v>
      </c>
    </row>
    <row r="165" spans="1:8" x14ac:dyDescent="0.25">
      <c r="A165" s="60" t="s">
        <v>121</v>
      </c>
      <c r="B165" s="61">
        <v>0</v>
      </c>
      <c r="C165" s="58"/>
      <c r="D165" s="58"/>
      <c r="E165" s="58">
        <f t="shared" si="24"/>
        <v>0</v>
      </c>
      <c r="F165" s="29" t="s">
        <v>150</v>
      </c>
      <c r="G165" s="36">
        <f>+B90</f>
        <v>1328744.3</v>
      </c>
      <c r="H165" s="36">
        <f>SUM(G161:G165)</f>
        <v>8723643.3200000003</v>
      </c>
    </row>
    <row r="166" spans="1:8" ht="18.75" x14ac:dyDescent="0.4">
      <c r="A166" s="34" t="s">
        <v>113</v>
      </c>
      <c r="B166" s="40"/>
      <c r="C166" s="40"/>
      <c r="D166" s="40"/>
      <c r="E166" s="51"/>
      <c r="F166" s="29"/>
    </row>
    <row r="167" spans="1:8" x14ac:dyDescent="0.25">
      <c r="A167" s="59" t="s">
        <v>133</v>
      </c>
      <c r="B167" s="96">
        <v>0</v>
      </c>
      <c r="C167" s="96">
        <v>92274.69</v>
      </c>
      <c r="D167" s="58"/>
      <c r="E167" s="58">
        <f t="shared" ref="E167:E176" si="25">+B167+C167+D167</f>
        <v>92274.69</v>
      </c>
      <c r="F167" s="29"/>
    </row>
    <row r="168" spans="1:8" x14ac:dyDescent="0.25">
      <c r="A168" s="92" t="s">
        <v>134</v>
      </c>
      <c r="B168" s="96">
        <v>0</v>
      </c>
      <c r="C168" s="96">
        <v>78488.460000000006</v>
      </c>
      <c r="D168" s="58"/>
      <c r="E168" s="58">
        <f t="shared" si="25"/>
        <v>78488.460000000006</v>
      </c>
      <c r="F168" s="29"/>
    </row>
    <row r="169" spans="1:8" x14ac:dyDescent="0.25">
      <c r="A169" s="92" t="s">
        <v>135</v>
      </c>
      <c r="B169" s="61">
        <v>0</v>
      </c>
      <c r="C169" s="131">
        <v>84406.94</v>
      </c>
      <c r="D169" s="58"/>
      <c r="E169" s="58">
        <f t="shared" si="25"/>
        <v>84406.94</v>
      </c>
      <c r="F169" s="29"/>
    </row>
    <row r="170" spans="1:8" x14ac:dyDescent="0.25">
      <c r="A170" s="92" t="s">
        <v>137</v>
      </c>
      <c r="B170" s="61">
        <v>0</v>
      </c>
      <c r="C170" s="131">
        <v>684211.05</v>
      </c>
      <c r="D170" s="58"/>
      <c r="E170" s="58">
        <f t="shared" si="25"/>
        <v>684211.05</v>
      </c>
      <c r="F170" s="29"/>
    </row>
    <row r="171" spans="1:8" x14ac:dyDescent="0.25">
      <c r="A171" s="92" t="s">
        <v>138</v>
      </c>
      <c r="B171" s="96">
        <v>0</v>
      </c>
      <c r="C171" s="96">
        <v>12076.06</v>
      </c>
      <c r="D171" s="58"/>
      <c r="E171" s="58">
        <f t="shared" si="25"/>
        <v>12076.06</v>
      </c>
      <c r="F171" s="29"/>
    </row>
    <row r="172" spans="1:8" x14ac:dyDescent="0.25">
      <c r="A172" s="92" t="s">
        <v>139</v>
      </c>
      <c r="B172" s="61">
        <v>0</v>
      </c>
      <c r="C172" s="131">
        <v>18209.11</v>
      </c>
      <c r="D172" s="58"/>
      <c r="E172" s="58">
        <f t="shared" si="25"/>
        <v>18209.11</v>
      </c>
      <c r="F172" s="29"/>
    </row>
    <row r="173" spans="1:8" x14ac:dyDescent="0.25">
      <c r="A173" s="92" t="s">
        <v>140</v>
      </c>
      <c r="B173" s="61">
        <v>0</v>
      </c>
      <c r="C173" s="132">
        <v>4600</v>
      </c>
      <c r="D173" s="58"/>
      <c r="E173" s="58">
        <f t="shared" si="25"/>
        <v>4600</v>
      </c>
      <c r="F173" s="29"/>
    </row>
    <row r="174" spans="1:8" x14ac:dyDescent="0.25">
      <c r="A174" s="92" t="s">
        <v>141</v>
      </c>
      <c r="B174" s="61">
        <v>0</v>
      </c>
      <c r="C174" s="131">
        <v>133181.15</v>
      </c>
      <c r="D174" s="58"/>
      <c r="E174" s="58">
        <f t="shared" si="25"/>
        <v>133181.15</v>
      </c>
      <c r="F174" s="29"/>
    </row>
    <row r="175" spans="1:8" x14ac:dyDescent="0.25">
      <c r="A175" s="92" t="s">
        <v>142</v>
      </c>
      <c r="B175" s="96">
        <v>0</v>
      </c>
      <c r="C175" s="96">
        <v>904659.5</v>
      </c>
      <c r="D175" s="58"/>
      <c r="E175" s="58">
        <f t="shared" si="25"/>
        <v>904659.5</v>
      </c>
      <c r="F175" s="29"/>
    </row>
    <row r="176" spans="1:8" x14ac:dyDescent="0.25">
      <c r="A176" s="92" t="s">
        <v>143</v>
      </c>
      <c r="B176" s="96">
        <v>0</v>
      </c>
      <c r="C176" s="96">
        <v>97656.44</v>
      </c>
      <c r="D176" s="58"/>
      <c r="E176" s="58">
        <f t="shared" si="25"/>
        <v>97656.44</v>
      </c>
      <c r="F176" s="29"/>
    </row>
    <row r="177" spans="1:34" x14ac:dyDescent="0.25">
      <c r="A177" s="59"/>
      <c r="B177" s="58"/>
      <c r="C177" s="58"/>
      <c r="D177" s="58"/>
      <c r="E177" s="58">
        <f t="shared" ref="E177" si="26">+B177+C177+D177</f>
        <v>0</v>
      </c>
      <c r="F177" s="29">
        <f>SUM(E167:E177)</f>
        <v>2109763.4000000004</v>
      </c>
    </row>
    <row r="178" spans="1:34" x14ac:dyDescent="0.25">
      <c r="A178" s="9"/>
      <c r="B178" s="40"/>
      <c r="C178" s="40"/>
      <c r="D178" s="40"/>
      <c r="E178" s="51"/>
      <c r="F178" s="29"/>
    </row>
    <row r="179" spans="1:34" x14ac:dyDescent="0.25">
      <c r="A179" s="9"/>
      <c r="B179" s="40"/>
      <c r="C179" s="40"/>
      <c r="D179" s="40"/>
      <c r="E179" s="51"/>
      <c r="F179" s="29"/>
    </row>
    <row r="180" spans="1:34" x14ac:dyDescent="0.25">
      <c r="A180" s="9"/>
      <c r="B180" s="40"/>
      <c r="C180" s="40"/>
      <c r="D180" s="40"/>
      <c r="E180" s="51"/>
      <c r="F180" s="29"/>
    </row>
    <row r="181" spans="1:34" ht="18.75" x14ac:dyDescent="0.4">
      <c r="A181" s="169" t="s">
        <v>37</v>
      </c>
      <c r="B181" s="169"/>
      <c r="C181" s="169"/>
      <c r="D181" s="169"/>
      <c r="E181" s="169"/>
      <c r="F181" s="69"/>
      <c r="G181" s="69"/>
    </row>
    <row r="182" spans="1:34" s="16" customFormat="1" ht="18.75" x14ac:dyDescent="0.4">
      <c r="A182" s="21"/>
      <c r="B182" s="43"/>
      <c r="C182" s="43"/>
      <c r="D182" s="43"/>
      <c r="E182" s="43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</row>
    <row r="183" spans="1:34" s="16" customFormat="1" ht="30" x14ac:dyDescent="0.4">
      <c r="A183" s="33" t="s">
        <v>105</v>
      </c>
      <c r="B183" s="38" t="s">
        <v>106</v>
      </c>
      <c r="C183" s="38" t="s">
        <v>107</v>
      </c>
      <c r="D183" s="38" t="s">
        <v>108</v>
      </c>
      <c r="E183" s="38" t="s">
        <v>109</v>
      </c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</row>
    <row r="184" spans="1:34" s="16" customFormat="1" ht="18.75" x14ac:dyDescent="0.4">
      <c r="A184" s="32" t="s">
        <v>110</v>
      </c>
      <c r="B184" s="37">
        <f>SUM(B185:B197)</f>
        <v>36050</v>
      </c>
      <c r="C184" s="37">
        <f t="shared" ref="C184:E184" si="27">SUM(C185:C197)</f>
        <v>0</v>
      </c>
      <c r="D184" s="37">
        <f t="shared" si="27"/>
        <v>0</v>
      </c>
      <c r="E184" s="37">
        <f t="shared" si="27"/>
        <v>36050</v>
      </c>
      <c r="F184"/>
      <c r="G184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</row>
    <row r="185" spans="1:34" s="3" customFormat="1" ht="11.25" customHeight="1" x14ac:dyDescent="0.25">
      <c r="A185" s="57" t="s">
        <v>1</v>
      </c>
      <c r="B185" s="67">
        <v>21250</v>
      </c>
      <c r="C185" s="58"/>
      <c r="D185" s="58"/>
      <c r="E185" s="58">
        <f>+B185+C185+D185</f>
        <v>21250</v>
      </c>
      <c r="F185"/>
      <c r="G185"/>
      <c r="K185" s="4"/>
      <c r="M185" s="4"/>
      <c r="O185" s="4"/>
      <c r="Q185" s="4"/>
      <c r="S185" s="4"/>
      <c r="U185" s="4"/>
      <c r="W185" s="4"/>
      <c r="Y185" s="4"/>
      <c r="AA185" s="4"/>
      <c r="AC185" s="4"/>
      <c r="AE185" s="4"/>
      <c r="AG185" s="4"/>
    </row>
    <row r="186" spans="1:34" x14ac:dyDescent="0.25">
      <c r="A186" s="57" t="s">
        <v>19</v>
      </c>
      <c r="B186" s="70">
        <v>7200</v>
      </c>
      <c r="C186" s="58"/>
      <c r="D186" s="58"/>
      <c r="E186" s="58">
        <f t="shared" ref="E186:E188" si="28">+B186+C186+D186</f>
        <v>7200</v>
      </c>
    </row>
    <row r="187" spans="1:34" x14ac:dyDescent="0.25">
      <c r="A187" s="57" t="s">
        <v>11</v>
      </c>
      <c r="B187" s="70">
        <v>7600</v>
      </c>
      <c r="C187" s="58"/>
      <c r="D187" s="58"/>
      <c r="E187" s="58">
        <f t="shared" si="28"/>
        <v>7600</v>
      </c>
    </row>
    <row r="188" spans="1:34" x14ac:dyDescent="0.25">
      <c r="A188" s="59" t="s">
        <v>5</v>
      </c>
      <c r="B188" s="70"/>
      <c r="C188" s="58"/>
      <c r="D188" s="58"/>
      <c r="E188" s="58">
        <f t="shared" si="28"/>
        <v>0</v>
      </c>
      <c r="F188" s="36">
        <f>SUM(E185:E188)</f>
        <v>36050</v>
      </c>
    </row>
    <row r="190" spans="1:34" ht="18.75" x14ac:dyDescent="0.4">
      <c r="A190" s="32" t="s">
        <v>111</v>
      </c>
      <c r="B190" s="40"/>
      <c r="C190" s="40"/>
      <c r="D190" s="40"/>
      <c r="E190" s="51"/>
      <c r="F190" s="29"/>
    </row>
    <row r="191" spans="1:34" x14ac:dyDescent="0.25">
      <c r="A191" s="59"/>
      <c r="B191" s="58"/>
      <c r="C191" s="58"/>
      <c r="D191" s="58"/>
      <c r="E191" s="58">
        <f t="shared" ref="E191:E192" si="29">+B191+C191+D191</f>
        <v>0</v>
      </c>
      <c r="F191" s="29"/>
    </row>
    <row r="192" spans="1:34" x14ac:dyDescent="0.25">
      <c r="A192" s="59"/>
      <c r="B192" s="58"/>
      <c r="C192" s="58"/>
      <c r="D192" s="58"/>
      <c r="E192" s="58">
        <f t="shared" si="29"/>
        <v>0</v>
      </c>
      <c r="F192" s="29"/>
    </row>
    <row r="193" spans="1:6" ht="18.75" x14ac:dyDescent="0.4">
      <c r="A193" s="32" t="s">
        <v>112</v>
      </c>
      <c r="B193" s="40"/>
      <c r="C193" s="40"/>
      <c r="D193" s="40"/>
      <c r="E193" s="51"/>
      <c r="F193" s="29"/>
    </row>
    <row r="194" spans="1:6" x14ac:dyDescent="0.25">
      <c r="A194" s="60" t="s">
        <v>120</v>
      </c>
      <c r="B194" s="58">
        <v>0</v>
      </c>
      <c r="C194" s="58"/>
      <c r="D194" s="58"/>
      <c r="E194" s="58">
        <f t="shared" ref="E194:E195" si="30">+B194+C194+D194</f>
        <v>0</v>
      </c>
      <c r="F194" s="29"/>
    </row>
    <row r="195" spans="1:6" x14ac:dyDescent="0.25">
      <c r="A195" s="60" t="s">
        <v>121</v>
      </c>
      <c r="B195" s="61">
        <v>0</v>
      </c>
      <c r="C195" s="58"/>
      <c r="D195" s="58"/>
      <c r="E195" s="58">
        <f t="shared" si="30"/>
        <v>0</v>
      </c>
      <c r="F195" s="29"/>
    </row>
    <row r="196" spans="1:6" ht="18.75" x14ac:dyDescent="0.4">
      <c r="A196" s="34" t="s">
        <v>113</v>
      </c>
      <c r="B196" s="40"/>
      <c r="C196" s="40"/>
      <c r="D196" s="40"/>
      <c r="E196" s="51"/>
      <c r="F196" s="29"/>
    </row>
    <row r="197" spans="1:6" x14ac:dyDescent="0.25">
      <c r="A197" s="59"/>
      <c r="B197" s="58"/>
      <c r="C197" s="58"/>
      <c r="D197" s="58"/>
      <c r="E197" s="58">
        <f t="shared" ref="E197" si="31">+B197+C197+D197</f>
        <v>0</v>
      </c>
      <c r="F197" s="29"/>
    </row>
    <row r="198" spans="1:6" x14ac:dyDescent="0.25">
      <c r="A198" s="9"/>
      <c r="B198" s="40"/>
      <c r="C198" s="40"/>
      <c r="D198" s="40"/>
      <c r="E198" s="40"/>
      <c r="F198" s="29"/>
    </row>
    <row r="199" spans="1:6" x14ac:dyDescent="0.25">
      <c r="A199" s="9"/>
      <c r="B199" s="40"/>
      <c r="C199" s="40"/>
      <c r="D199" s="40"/>
      <c r="E199" s="40"/>
      <c r="F199" s="29"/>
    </row>
    <row r="200" spans="1:6" ht="18.75" x14ac:dyDescent="0.4">
      <c r="A200" s="169" t="s">
        <v>144</v>
      </c>
      <c r="B200" s="169"/>
      <c r="C200" s="169"/>
      <c r="D200" s="169"/>
      <c r="E200" s="169"/>
      <c r="F200" s="29"/>
    </row>
    <row r="201" spans="1:6" ht="18.75" x14ac:dyDescent="0.4">
      <c r="A201" s="21"/>
      <c r="B201" s="43"/>
      <c r="C201" s="43"/>
      <c r="D201" s="43"/>
      <c r="E201" s="43"/>
      <c r="F201" s="29"/>
    </row>
    <row r="202" spans="1:6" ht="30" x14ac:dyDescent="0.25">
      <c r="A202" s="33" t="s">
        <v>105</v>
      </c>
      <c r="B202" s="38" t="s">
        <v>106</v>
      </c>
      <c r="C202" s="38" t="s">
        <v>107</v>
      </c>
      <c r="D202" s="38" t="s">
        <v>108</v>
      </c>
      <c r="E202" s="38" t="s">
        <v>109</v>
      </c>
      <c r="F202" s="29"/>
    </row>
    <row r="203" spans="1:6" ht="18.75" x14ac:dyDescent="0.4">
      <c r="A203" s="32" t="s">
        <v>110</v>
      </c>
      <c r="B203" s="37">
        <f>SUM(B204:B216)</f>
        <v>818224.72</v>
      </c>
      <c r="C203" s="37">
        <f t="shared" ref="C203:E203" si="32">SUM(C204:C216)</f>
        <v>0</v>
      </c>
      <c r="D203" s="37">
        <f t="shared" si="32"/>
        <v>0</v>
      </c>
      <c r="E203" s="37">
        <f t="shared" si="32"/>
        <v>818224.72</v>
      </c>
      <c r="F203" s="29"/>
    </row>
    <row r="204" spans="1:6" x14ac:dyDescent="0.25">
      <c r="A204" s="57" t="s">
        <v>1</v>
      </c>
      <c r="B204" s="67">
        <v>25250</v>
      </c>
      <c r="C204" s="58"/>
      <c r="D204" s="58"/>
      <c r="E204" s="58">
        <f>+B204+C204+D204</f>
        <v>25250</v>
      </c>
      <c r="F204" s="29"/>
    </row>
    <row r="205" spans="1:6" x14ac:dyDescent="0.25">
      <c r="A205" s="57" t="s">
        <v>19</v>
      </c>
      <c r="B205" s="70">
        <v>7200</v>
      </c>
      <c r="C205" s="58"/>
      <c r="D205" s="58"/>
      <c r="E205" s="58">
        <f t="shared" ref="E205:E207" si="33">+B205+C205+D205</f>
        <v>7200</v>
      </c>
      <c r="F205" s="29"/>
    </row>
    <row r="206" spans="1:6" x14ac:dyDescent="0.25">
      <c r="A206" s="57" t="s">
        <v>11</v>
      </c>
      <c r="B206" s="70">
        <v>12600</v>
      </c>
      <c r="C206" s="58"/>
      <c r="D206" s="58"/>
      <c r="E206" s="58">
        <f t="shared" si="33"/>
        <v>12600</v>
      </c>
      <c r="F206" s="29"/>
    </row>
    <row r="207" spans="1:6" x14ac:dyDescent="0.25">
      <c r="A207" s="59" t="s">
        <v>5</v>
      </c>
      <c r="B207" s="70"/>
      <c r="C207" s="58"/>
      <c r="D207" s="58"/>
      <c r="E207" s="58">
        <f t="shared" si="33"/>
        <v>0</v>
      </c>
      <c r="F207" s="29">
        <f>SUM(E204:E207)</f>
        <v>45050</v>
      </c>
    </row>
    <row r="208" spans="1:6" x14ac:dyDescent="0.25">
      <c r="F208" s="29"/>
    </row>
    <row r="209" spans="1:7" ht="18.75" x14ac:dyDescent="0.4">
      <c r="A209" s="32" t="s">
        <v>111</v>
      </c>
      <c r="B209" s="40"/>
      <c r="C209" s="40"/>
      <c r="D209" s="40"/>
      <c r="E209" s="51"/>
      <c r="F209" s="29"/>
    </row>
    <row r="210" spans="1:7" x14ac:dyDescent="0.25">
      <c r="A210" s="59"/>
      <c r="B210" s="58"/>
      <c r="C210" s="58"/>
      <c r="D210" s="58"/>
      <c r="E210" s="58">
        <f t="shared" ref="E210:E211" si="34">+B210+C210+D210</f>
        <v>0</v>
      </c>
      <c r="F210" s="29"/>
    </row>
    <row r="211" spans="1:7" x14ac:dyDescent="0.25">
      <c r="A211" s="59"/>
      <c r="B211" s="58"/>
      <c r="C211" s="58"/>
      <c r="D211" s="58"/>
      <c r="E211" s="58">
        <f t="shared" si="34"/>
        <v>0</v>
      </c>
      <c r="F211" s="29"/>
    </row>
    <row r="212" spans="1:7" ht="18.75" x14ac:dyDescent="0.4">
      <c r="A212" s="32" t="s">
        <v>112</v>
      </c>
      <c r="B212" s="40"/>
      <c r="C212" s="40"/>
      <c r="D212" s="40"/>
      <c r="E212" s="51"/>
      <c r="F212" s="29"/>
    </row>
    <row r="213" spans="1:7" x14ac:dyDescent="0.25">
      <c r="A213" s="60" t="s">
        <v>120</v>
      </c>
      <c r="B213" s="58">
        <v>0</v>
      </c>
      <c r="C213" s="58"/>
      <c r="D213" s="58"/>
      <c r="E213" s="58">
        <f t="shared" ref="E213:E214" si="35">+B213+C213+D213</f>
        <v>0</v>
      </c>
      <c r="F213" s="29"/>
    </row>
    <row r="214" spans="1:7" x14ac:dyDescent="0.25">
      <c r="A214" s="60" t="s">
        <v>121</v>
      </c>
      <c r="B214" s="61">
        <v>0</v>
      </c>
      <c r="C214" s="58"/>
      <c r="D214" s="58"/>
      <c r="E214" s="58">
        <f t="shared" si="35"/>
        <v>0</v>
      </c>
      <c r="F214" s="29"/>
    </row>
    <row r="215" spans="1:7" ht="18.75" x14ac:dyDescent="0.4">
      <c r="A215" s="34" t="s">
        <v>113</v>
      </c>
      <c r="B215" s="40"/>
      <c r="C215" s="40"/>
      <c r="D215" s="40"/>
      <c r="E215" s="51"/>
      <c r="F215" s="29"/>
    </row>
    <row r="216" spans="1:7" x14ac:dyDescent="0.25">
      <c r="A216" s="92" t="s">
        <v>136</v>
      </c>
      <c r="B216" s="58">
        <v>773174.72</v>
      </c>
      <c r="C216" s="58"/>
      <c r="D216" s="58"/>
      <c r="E216" s="58">
        <f t="shared" ref="E216" si="36">+B216+C216+D216</f>
        <v>773174.72</v>
      </c>
      <c r="F216" s="29">
        <f>+E216</f>
        <v>773174.72</v>
      </c>
      <c r="G216" s="29">
        <f>+F216+F207</f>
        <v>818224.72</v>
      </c>
    </row>
    <row r="217" spans="1:7" x14ac:dyDescent="0.25">
      <c r="A217" s="9"/>
      <c r="B217" s="40"/>
      <c r="C217" s="40"/>
      <c r="D217" s="40"/>
      <c r="E217" s="40"/>
      <c r="F217" s="29"/>
    </row>
    <row r="218" spans="1:7" x14ac:dyDescent="0.25">
      <c r="A218" s="9"/>
      <c r="B218" s="40"/>
      <c r="C218" s="40"/>
      <c r="D218" s="40"/>
      <c r="E218" s="40"/>
      <c r="F218" s="29"/>
    </row>
    <row r="219" spans="1:7" ht="18.75" x14ac:dyDescent="0.4">
      <c r="A219" s="169" t="s">
        <v>145</v>
      </c>
      <c r="B219" s="169"/>
      <c r="C219" s="169"/>
      <c r="D219" s="169"/>
      <c r="E219" s="169"/>
      <c r="F219" s="29"/>
    </row>
    <row r="220" spans="1:7" ht="18.75" x14ac:dyDescent="0.4">
      <c r="A220" s="21"/>
      <c r="B220" s="43"/>
      <c r="C220" s="43"/>
      <c r="D220" s="43"/>
      <c r="E220" s="43"/>
      <c r="F220" s="29"/>
    </row>
    <row r="221" spans="1:7" ht="30" x14ac:dyDescent="0.25">
      <c r="A221" s="33" t="s">
        <v>105</v>
      </c>
      <c r="B221" s="38" t="s">
        <v>106</v>
      </c>
      <c r="C221" s="38" t="s">
        <v>107</v>
      </c>
      <c r="D221" s="38" t="s">
        <v>108</v>
      </c>
      <c r="E221" s="38" t="s">
        <v>109</v>
      </c>
      <c r="F221" s="29"/>
    </row>
    <row r="222" spans="1:7" ht="18.75" x14ac:dyDescent="0.4">
      <c r="A222" s="32" t="s">
        <v>110</v>
      </c>
      <c r="B222" s="37">
        <f>SUM(B223:B235)</f>
        <v>79050</v>
      </c>
      <c r="C222" s="37">
        <f t="shared" ref="C222:E222" si="37">SUM(C223:C235)</f>
        <v>0</v>
      </c>
      <c r="D222" s="37">
        <f t="shared" si="37"/>
        <v>0</v>
      </c>
      <c r="E222" s="37">
        <f t="shared" si="37"/>
        <v>79050</v>
      </c>
      <c r="F222" s="29"/>
    </row>
    <row r="223" spans="1:7" x14ac:dyDescent="0.25">
      <c r="A223" s="57" t="s">
        <v>1</v>
      </c>
      <c r="B223" s="67">
        <v>45250</v>
      </c>
      <c r="C223" s="58"/>
      <c r="D223" s="58"/>
      <c r="E223" s="58">
        <f>+B223+C223+D223</f>
        <v>45250</v>
      </c>
      <c r="F223" s="29"/>
    </row>
    <row r="224" spans="1:7" x14ac:dyDescent="0.25">
      <c r="A224" s="57" t="s">
        <v>19</v>
      </c>
      <c r="B224" s="70">
        <v>15200</v>
      </c>
      <c r="C224" s="58"/>
      <c r="D224" s="58"/>
      <c r="E224" s="58">
        <f t="shared" ref="E224:E226" si="38">+B224+C224+D224</f>
        <v>15200</v>
      </c>
      <c r="F224" s="29"/>
    </row>
    <row r="225" spans="1:34" x14ac:dyDescent="0.25">
      <c r="A225" s="57" t="s">
        <v>11</v>
      </c>
      <c r="B225" s="70">
        <v>18600</v>
      </c>
      <c r="C225" s="58"/>
      <c r="D225" s="58"/>
      <c r="E225" s="58">
        <f t="shared" si="38"/>
        <v>18600</v>
      </c>
      <c r="F225" s="29"/>
    </row>
    <row r="226" spans="1:34" x14ac:dyDescent="0.25">
      <c r="A226" s="59" t="s">
        <v>5</v>
      </c>
      <c r="B226" s="70"/>
      <c r="C226" s="58"/>
      <c r="D226" s="58"/>
      <c r="E226" s="58">
        <f t="shared" si="38"/>
        <v>0</v>
      </c>
      <c r="F226" s="29">
        <f>SUM(E223:E226)</f>
        <v>79050</v>
      </c>
    </row>
    <row r="227" spans="1:34" x14ac:dyDescent="0.25">
      <c r="F227" s="29"/>
    </row>
    <row r="228" spans="1:34" ht="18.75" x14ac:dyDescent="0.4">
      <c r="A228" s="32" t="s">
        <v>111</v>
      </c>
      <c r="B228" s="40"/>
      <c r="C228" s="40"/>
      <c r="D228" s="40"/>
      <c r="E228" s="51"/>
      <c r="F228" s="29"/>
    </row>
    <row r="229" spans="1:34" x14ac:dyDescent="0.25">
      <c r="A229" s="59"/>
      <c r="B229" s="58"/>
      <c r="C229" s="58"/>
      <c r="D229" s="58"/>
      <c r="E229" s="58">
        <f t="shared" ref="E229:E230" si="39">+B229+C229+D229</f>
        <v>0</v>
      </c>
      <c r="F229" s="29"/>
    </row>
    <row r="230" spans="1:34" x14ac:dyDescent="0.25">
      <c r="A230" s="59"/>
      <c r="B230" s="58"/>
      <c r="C230" s="58"/>
      <c r="D230" s="58"/>
      <c r="E230" s="58">
        <f t="shared" si="39"/>
        <v>0</v>
      </c>
      <c r="F230" s="29"/>
    </row>
    <row r="231" spans="1:34" ht="18.75" x14ac:dyDescent="0.4">
      <c r="A231" s="32" t="s">
        <v>112</v>
      </c>
      <c r="B231" s="40"/>
      <c r="C231" s="40"/>
      <c r="D231" s="40"/>
      <c r="E231" s="51"/>
      <c r="F231" s="29"/>
    </row>
    <row r="232" spans="1:34" x14ac:dyDescent="0.25">
      <c r="A232" s="60" t="s">
        <v>120</v>
      </c>
      <c r="B232" s="58">
        <v>0</v>
      </c>
      <c r="C232" s="58"/>
      <c r="D232" s="58"/>
      <c r="E232" s="58">
        <f t="shared" ref="E232:E233" si="40">+B232+C232+D232</f>
        <v>0</v>
      </c>
      <c r="F232" s="29"/>
    </row>
    <row r="233" spans="1:34" x14ac:dyDescent="0.25">
      <c r="A233" s="60" t="s">
        <v>121</v>
      </c>
      <c r="B233" s="61">
        <v>0</v>
      </c>
      <c r="C233" s="58"/>
      <c r="D233" s="58"/>
      <c r="E233" s="58">
        <f t="shared" si="40"/>
        <v>0</v>
      </c>
      <c r="F233" s="29"/>
    </row>
    <row r="234" spans="1:34" ht="18.75" x14ac:dyDescent="0.4">
      <c r="A234" s="34" t="s">
        <v>113</v>
      </c>
      <c r="B234" s="40"/>
      <c r="C234" s="40"/>
      <c r="D234" s="40"/>
      <c r="E234" s="51"/>
      <c r="F234" s="29"/>
    </row>
    <row r="235" spans="1:34" x14ac:dyDescent="0.25">
      <c r="A235" s="92" t="s">
        <v>136</v>
      </c>
      <c r="B235" s="58">
        <v>0</v>
      </c>
      <c r="C235" s="58"/>
      <c r="D235" s="58"/>
      <c r="E235" s="58">
        <f t="shared" ref="E235" si="41">+B235+C235+D235</f>
        <v>0</v>
      </c>
      <c r="F235" s="29">
        <f>+E235</f>
        <v>0</v>
      </c>
      <c r="G235" s="29">
        <f>+F235+F226</f>
        <v>79050</v>
      </c>
    </row>
    <row r="236" spans="1:34" x14ac:dyDescent="0.25">
      <c r="A236" s="9"/>
      <c r="B236" s="40"/>
      <c r="C236" s="40"/>
      <c r="D236" s="40"/>
      <c r="E236" s="40"/>
      <c r="F236" s="29"/>
    </row>
    <row r="237" spans="1:34" x14ac:dyDescent="0.25">
      <c r="A237" s="9"/>
      <c r="B237" s="40"/>
      <c r="C237" s="40"/>
      <c r="D237" s="40"/>
      <c r="E237" s="40"/>
      <c r="F237" s="29"/>
    </row>
    <row r="238" spans="1:34" x14ac:dyDescent="0.25">
      <c r="F238" s="29"/>
    </row>
    <row r="239" spans="1:34" ht="15.75" x14ac:dyDescent="0.3">
      <c r="A239" s="171" t="s">
        <v>38</v>
      </c>
      <c r="B239" s="171"/>
      <c r="C239" s="171"/>
      <c r="D239" s="171"/>
      <c r="E239" s="171"/>
      <c r="F239" s="75"/>
      <c r="G239" s="76"/>
      <c r="H239" s="76"/>
    </row>
    <row r="240" spans="1:34" s="16" customFormat="1" ht="18.75" x14ac:dyDescent="0.4">
      <c r="A240" s="21"/>
      <c r="B240" s="43"/>
      <c r="C240" s="43"/>
      <c r="D240" s="43"/>
      <c r="E240" s="43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</row>
    <row r="241" spans="1:34" s="16" customFormat="1" ht="30" x14ac:dyDescent="0.4">
      <c r="A241" s="33" t="s">
        <v>105</v>
      </c>
      <c r="B241" s="38" t="s">
        <v>106</v>
      </c>
      <c r="C241" s="38" t="s">
        <v>107</v>
      </c>
      <c r="D241" s="38" t="s">
        <v>108</v>
      </c>
      <c r="E241" s="38" t="s">
        <v>109</v>
      </c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</row>
    <row r="242" spans="1:34" s="16" customFormat="1" ht="18.75" x14ac:dyDescent="0.4">
      <c r="A242" s="32" t="s">
        <v>110</v>
      </c>
      <c r="B242" s="37">
        <f>SUM(B243:B259)</f>
        <v>77600</v>
      </c>
      <c r="C242" s="37">
        <f t="shared" ref="C242:E242" si="42">SUM(C243:C259)</f>
        <v>0</v>
      </c>
      <c r="D242" s="37">
        <f t="shared" si="42"/>
        <v>0</v>
      </c>
      <c r="E242" s="37">
        <f t="shared" si="42"/>
        <v>77600</v>
      </c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</row>
    <row r="243" spans="1:34" s="3" customFormat="1" ht="11.25" customHeight="1" x14ac:dyDescent="0.25">
      <c r="A243" s="59" t="s">
        <v>1</v>
      </c>
      <c r="B243" s="58">
        <v>6300</v>
      </c>
      <c r="C243" s="58"/>
      <c r="D243" s="58"/>
      <c r="E243" s="58">
        <f t="shared" ref="E243:E250" si="43">+B243+C243+D243</f>
        <v>6300</v>
      </c>
      <c r="F243"/>
      <c r="G243" s="5"/>
      <c r="I243" s="4"/>
      <c r="K243" s="4"/>
      <c r="M243" s="4"/>
      <c r="O243" s="4"/>
      <c r="Q243" s="4"/>
      <c r="S243" s="4"/>
      <c r="U243" s="4"/>
      <c r="W243" s="4"/>
      <c r="Y243" s="4"/>
      <c r="AA243" s="4"/>
      <c r="AC243" s="4"/>
      <c r="AE243" s="4"/>
      <c r="AG243" s="4"/>
    </row>
    <row r="244" spans="1:34" s="3" customFormat="1" ht="11.25" customHeight="1" x14ac:dyDescent="0.25">
      <c r="A244" s="59" t="s">
        <v>2</v>
      </c>
      <c r="B244" s="77">
        <v>12000</v>
      </c>
      <c r="C244" s="52"/>
      <c r="D244" s="58"/>
      <c r="E244" s="58">
        <f t="shared" si="43"/>
        <v>12000</v>
      </c>
      <c r="F244"/>
      <c r="G244" s="8"/>
      <c r="H244" s="9"/>
      <c r="I244" s="8"/>
      <c r="J244" s="7"/>
      <c r="K244" s="8"/>
      <c r="L244" s="7"/>
      <c r="M244" s="8"/>
      <c r="N244" s="7"/>
      <c r="O244" s="8"/>
      <c r="P244" s="7"/>
      <c r="Q244" s="8"/>
      <c r="R244" s="7"/>
      <c r="S244" s="8"/>
      <c r="T244" s="7"/>
      <c r="U244" s="8"/>
      <c r="V244" s="7"/>
      <c r="W244" s="8"/>
      <c r="X244" s="7"/>
      <c r="Y244" s="8"/>
      <c r="Z244" s="7"/>
      <c r="AA244" s="8"/>
      <c r="AB244" s="7"/>
      <c r="AC244" s="8"/>
      <c r="AD244" s="7"/>
      <c r="AE244" s="8"/>
      <c r="AF244" s="7"/>
      <c r="AG244" s="8"/>
      <c r="AH244" s="7"/>
    </row>
    <row r="245" spans="1:34" s="3" customFormat="1" ht="11.25" customHeight="1" x14ac:dyDescent="0.25">
      <c r="A245" s="59" t="s">
        <v>3</v>
      </c>
      <c r="B245" s="77">
        <v>2000</v>
      </c>
      <c r="C245" s="52"/>
      <c r="D245" s="58"/>
      <c r="E245" s="58">
        <f t="shared" si="43"/>
        <v>2000</v>
      </c>
      <c r="F245"/>
      <c r="G245" s="5"/>
      <c r="H245" s="9"/>
      <c r="I245" s="8"/>
      <c r="J245" s="7"/>
      <c r="K245" s="8"/>
      <c r="L245" s="7"/>
      <c r="M245" s="8"/>
      <c r="N245" s="7"/>
      <c r="O245" s="8"/>
      <c r="P245" s="7"/>
      <c r="Q245" s="8"/>
      <c r="R245" s="7"/>
      <c r="S245" s="8"/>
      <c r="T245" s="7"/>
      <c r="U245" s="8"/>
      <c r="V245" s="7"/>
      <c r="W245" s="8"/>
      <c r="X245" s="7"/>
      <c r="Y245" s="8"/>
      <c r="Z245" s="7"/>
      <c r="AA245" s="8"/>
      <c r="AB245" s="7"/>
      <c r="AC245" s="8"/>
      <c r="AD245" s="7"/>
      <c r="AE245" s="8"/>
      <c r="AF245" s="7"/>
      <c r="AG245" s="8"/>
      <c r="AH245" s="7"/>
    </row>
    <row r="246" spans="1:34" x14ac:dyDescent="0.25">
      <c r="A246" s="59" t="s">
        <v>39</v>
      </c>
      <c r="B246" s="58">
        <v>10000</v>
      </c>
      <c r="C246" s="58"/>
      <c r="D246" s="58"/>
      <c r="E246" s="58">
        <f t="shared" si="43"/>
        <v>10000</v>
      </c>
    </row>
    <row r="247" spans="1:34" x14ac:dyDescent="0.25">
      <c r="A247" s="59" t="s">
        <v>18</v>
      </c>
      <c r="B247" s="58">
        <v>1000</v>
      </c>
      <c r="C247" s="58"/>
      <c r="D247" s="58"/>
      <c r="E247" s="58">
        <f t="shared" si="43"/>
        <v>1000</v>
      </c>
    </row>
    <row r="248" spans="1:34" x14ac:dyDescent="0.25">
      <c r="A248" s="59" t="s">
        <v>10</v>
      </c>
      <c r="B248" s="58">
        <v>25000</v>
      </c>
      <c r="C248" s="58"/>
      <c r="D248" s="58"/>
      <c r="E248" s="58">
        <f t="shared" si="43"/>
        <v>25000</v>
      </c>
    </row>
    <row r="249" spans="1:34" x14ac:dyDescent="0.25">
      <c r="A249" s="59" t="s">
        <v>11</v>
      </c>
      <c r="B249" s="58">
        <v>3800</v>
      </c>
      <c r="C249" s="58"/>
      <c r="D249" s="58"/>
      <c r="E249" s="58">
        <f t="shared" si="43"/>
        <v>3800</v>
      </c>
    </row>
    <row r="250" spans="1:34" x14ac:dyDescent="0.25">
      <c r="A250" s="59" t="s">
        <v>40</v>
      </c>
      <c r="B250" s="58">
        <v>17500</v>
      </c>
      <c r="C250" s="58"/>
      <c r="D250" s="58"/>
      <c r="E250" s="58">
        <f t="shared" si="43"/>
        <v>17500</v>
      </c>
      <c r="F250" s="36">
        <f>SUM(E243:E250)</f>
        <v>77600</v>
      </c>
    </row>
    <row r="251" spans="1:34" s="22" customFormat="1" x14ac:dyDescent="0.25">
      <c r="B251" s="44"/>
      <c r="C251" s="44"/>
      <c r="D251" s="44"/>
      <c r="E251" s="44"/>
      <c r="F251"/>
    </row>
    <row r="252" spans="1:34" s="22" customFormat="1" ht="18.75" x14ac:dyDescent="0.4">
      <c r="A252" s="32" t="s">
        <v>111</v>
      </c>
      <c r="B252" s="40"/>
      <c r="C252" s="40"/>
      <c r="D252" s="40"/>
      <c r="E252" s="51"/>
      <c r="F252" s="30"/>
    </row>
    <row r="253" spans="1:34" s="22" customFormat="1" x14ac:dyDescent="0.25">
      <c r="A253" s="59"/>
      <c r="B253" s="58"/>
      <c r="C253" s="58"/>
      <c r="D253" s="58"/>
      <c r="E253" s="58">
        <f t="shared" ref="E253:E254" si="44">+B253+C253+D253</f>
        <v>0</v>
      </c>
      <c r="F253" s="30"/>
    </row>
    <row r="254" spans="1:34" s="22" customFormat="1" x14ac:dyDescent="0.25">
      <c r="A254" s="59"/>
      <c r="B254" s="58"/>
      <c r="C254" s="58"/>
      <c r="D254" s="58"/>
      <c r="E254" s="58">
        <f t="shared" si="44"/>
        <v>0</v>
      </c>
      <c r="F254" s="30"/>
    </row>
    <row r="255" spans="1:34" s="22" customFormat="1" ht="18.75" x14ac:dyDescent="0.4">
      <c r="A255" s="32" t="s">
        <v>112</v>
      </c>
      <c r="B255" s="40"/>
      <c r="C255" s="40"/>
      <c r="D255" s="40"/>
      <c r="E255" s="51"/>
      <c r="F255" s="30"/>
    </row>
    <row r="256" spans="1:34" s="22" customFormat="1" x14ac:dyDescent="0.25">
      <c r="A256" s="60" t="s">
        <v>120</v>
      </c>
      <c r="B256" s="58">
        <v>0</v>
      </c>
      <c r="C256" s="58"/>
      <c r="D256" s="58"/>
      <c r="E256" s="58">
        <f t="shared" ref="E256:E257" si="45">+B256+C256+D256</f>
        <v>0</v>
      </c>
      <c r="F256" s="30"/>
    </row>
    <row r="257" spans="1:34" s="22" customFormat="1" x14ac:dyDescent="0.25">
      <c r="A257" s="60" t="s">
        <v>121</v>
      </c>
      <c r="B257" s="61">
        <v>0</v>
      </c>
      <c r="C257" s="58"/>
      <c r="D257" s="58"/>
      <c r="E257" s="58">
        <f t="shared" si="45"/>
        <v>0</v>
      </c>
      <c r="F257" s="30"/>
    </row>
    <row r="258" spans="1:34" s="22" customFormat="1" ht="18.75" x14ac:dyDescent="0.4">
      <c r="A258" s="34" t="s">
        <v>113</v>
      </c>
      <c r="B258" s="40"/>
      <c r="C258" s="40"/>
      <c r="D258" s="40"/>
      <c r="E258" s="51"/>
      <c r="F258" s="30"/>
    </row>
    <row r="259" spans="1:34" s="22" customFormat="1" x14ac:dyDescent="0.25">
      <c r="A259" s="59"/>
      <c r="B259" s="58"/>
      <c r="C259" s="58"/>
      <c r="D259" s="58"/>
      <c r="E259" s="58">
        <f t="shared" ref="E259" si="46">+B259+C259+D259</f>
        <v>0</v>
      </c>
      <c r="F259" s="30"/>
    </row>
    <row r="260" spans="1:34" s="22" customFormat="1" x14ac:dyDescent="0.25">
      <c r="B260" s="44"/>
      <c r="C260" s="44"/>
      <c r="D260" s="44"/>
      <c r="E260" s="44"/>
      <c r="F260" s="30"/>
    </row>
    <row r="261" spans="1:34" ht="18.75" x14ac:dyDescent="0.4">
      <c r="A261" s="168" t="s">
        <v>123</v>
      </c>
      <c r="B261" s="168"/>
      <c r="C261" s="168"/>
      <c r="D261" s="168"/>
      <c r="E261" s="168"/>
      <c r="F261" s="14"/>
      <c r="G261" s="14"/>
      <c r="H261" s="14"/>
    </row>
    <row r="262" spans="1:34" s="16" customFormat="1" ht="18.75" x14ac:dyDescent="0.4">
      <c r="A262" s="21"/>
      <c r="B262" s="43"/>
      <c r="C262" s="43"/>
      <c r="D262" s="43"/>
      <c r="E262" s="43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</row>
    <row r="263" spans="1:34" s="16" customFormat="1" ht="30" x14ac:dyDescent="0.4">
      <c r="A263" s="33" t="s">
        <v>105</v>
      </c>
      <c r="B263" s="38" t="s">
        <v>106</v>
      </c>
      <c r="C263" s="38" t="s">
        <v>107</v>
      </c>
      <c r="D263" s="38" t="s">
        <v>108</v>
      </c>
      <c r="E263" s="38" t="s">
        <v>109</v>
      </c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</row>
    <row r="264" spans="1:34" s="16" customFormat="1" ht="18.75" x14ac:dyDescent="0.4">
      <c r="A264" s="32" t="s">
        <v>110</v>
      </c>
      <c r="B264" s="37">
        <f>SUM(B265:B279)</f>
        <v>49422</v>
      </c>
      <c r="C264" s="37">
        <f t="shared" ref="C264:E264" si="47">SUM(C265:C279)</f>
        <v>0</v>
      </c>
      <c r="D264" s="37">
        <f t="shared" si="47"/>
        <v>0</v>
      </c>
      <c r="E264" s="37">
        <f t="shared" si="47"/>
        <v>49422</v>
      </c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</row>
    <row r="265" spans="1:34" s="3" customFormat="1" ht="11.25" customHeight="1" x14ac:dyDescent="0.15">
      <c r="A265" s="59" t="s">
        <v>1</v>
      </c>
      <c r="B265" s="58">
        <v>5300</v>
      </c>
      <c r="C265" s="58"/>
      <c r="D265" s="58"/>
      <c r="E265" s="58">
        <f t="shared" ref="E265:E270" si="48">+B265+C265+D265</f>
        <v>5300</v>
      </c>
      <c r="F265" s="4"/>
      <c r="G265" s="4"/>
      <c r="I265" s="4"/>
      <c r="K265" s="4"/>
      <c r="M265" s="4"/>
      <c r="O265" s="4"/>
      <c r="Q265" s="4"/>
      <c r="S265" s="4"/>
      <c r="U265" s="4"/>
      <c r="W265" s="4"/>
      <c r="Y265" s="4"/>
      <c r="AA265" s="4"/>
      <c r="AC265" s="4"/>
      <c r="AE265" s="4"/>
      <c r="AG265" s="4"/>
    </row>
    <row r="266" spans="1:34" x14ac:dyDescent="0.25">
      <c r="A266" s="59" t="s">
        <v>39</v>
      </c>
      <c r="B266" s="58">
        <v>10000</v>
      </c>
      <c r="C266" s="58"/>
      <c r="D266" s="58"/>
      <c r="E266" s="58">
        <f t="shared" si="48"/>
        <v>10000</v>
      </c>
    </row>
    <row r="267" spans="1:34" x14ac:dyDescent="0.25">
      <c r="A267" s="59" t="s">
        <v>19</v>
      </c>
      <c r="B267" s="58">
        <v>600</v>
      </c>
      <c r="C267" s="58"/>
      <c r="D267" s="58"/>
      <c r="E267" s="58">
        <f t="shared" si="48"/>
        <v>600</v>
      </c>
    </row>
    <row r="268" spans="1:34" x14ac:dyDescent="0.25">
      <c r="A268" s="59" t="s">
        <v>10</v>
      </c>
      <c r="B268" s="58">
        <v>15000</v>
      </c>
      <c r="C268" s="58"/>
      <c r="D268" s="58"/>
      <c r="E268" s="58">
        <f t="shared" si="48"/>
        <v>15000</v>
      </c>
    </row>
    <row r="269" spans="1:34" x14ac:dyDescent="0.25">
      <c r="A269" s="59" t="s">
        <v>11</v>
      </c>
      <c r="B269" s="58">
        <v>3800</v>
      </c>
      <c r="C269" s="58"/>
      <c r="D269" s="58"/>
      <c r="E269" s="58">
        <f t="shared" si="48"/>
        <v>3800</v>
      </c>
    </row>
    <row r="270" spans="1:34" x14ac:dyDescent="0.25">
      <c r="A270" s="117" t="s">
        <v>171</v>
      </c>
      <c r="B270" s="58">
        <v>14722</v>
      </c>
      <c r="C270" s="63"/>
      <c r="D270" s="58"/>
      <c r="E270" s="58">
        <f t="shared" si="48"/>
        <v>14722</v>
      </c>
      <c r="F270" s="36">
        <f>SUM(E265:E270)</f>
        <v>49422</v>
      </c>
    </row>
    <row r="271" spans="1:34" x14ac:dyDescent="0.25">
      <c r="A271" s="9"/>
      <c r="B271" s="40"/>
      <c r="C271" s="40"/>
      <c r="D271" s="40"/>
      <c r="E271" s="51"/>
      <c r="F271" s="29" t="s">
        <v>75</v>
      </c>
    </row>
    <row r="272" spans="1:34" ht="18.75" x14ac:dyDescent="0.4">
      <c r="A272" s="32" t="s">
        <v>111</v>
      </c>
      <c r="B272" s="40"/>
      <c r="C272" s="40"/>
      <c r="D272" s="40"/>
      <c r="E272" s="51"/>
      <c r="F272" s="29"/>
    </row>
    <row r="273" spans="1:34" x14ac:dyDescent="0.25">
      <c r="A273" s="59"/>
      <c r="B273" s="58"/>
      <c r="C273" s="58"/>
      <c r="D273" s="58"/>
      <c r="E273" s="58">
        <f t="shared" ref="E273:E274" si="49">+B273+C273+D273</f>
        <v>0</v>
      </c>
      <c r="F273" s="29"/>
    </row>
    <row r="274" spans="1:34" x14ac:dyDescent="0.25">
      <c r="A274" s="59"/>
      <c r="B274" s="58"/>
      <c r="C274" s="58"/>
      <c r="D274" s="58"/>
      <c r="E274" s="58">
        <f t="shared" si="49"/>
        <v>0</v>
      </c>
      <c r="F274" s="29"/>
    </row>
    <row r="275" spans="1:34" ht="18.75" x14ac:dyDescent="0.4">
      <c r="A275" s="32" t="s">
        <v>112</v>
      </c>
      <c r="B275" s="40"/>
      <c r="C275" s="40"/>
      <c r="D275" s="40"/>
      <c r="E275" s="51"/>
      <c r="F275" s="29"/>
    </row>
    <row r="276" spans="1:34" x14ac:dyDescent="0.25">
      <c r="A276" s="60" t="s">
        <v>120</v>
      </c>
      <c r="B276" s="58">
        <v>0</v>
      </c>
      <c r="C276" s="58"/>
      <c r="D276" s="58"/>
      <c r="E276" s="58">
        <f t="shared" ref="E276:E277" si="50">+B276+C276+D276</f>
        <v>0</v>
      </c>
      <c r="F276" s="29"/>
    </row>
    <row r="277" spans="1:34" x14ac:dyDescent="0.25">
      <c r="A277" s="60" t="s">
        <v>121</v>
      </c>
      <c r="B277" s="61">
        <v>0</v>
      </c>
      <c r="C277" s="58"/>
      <c r="D277" s="58"/>
      <c r="E277" s="58">
        <f t="shared" si="50"/>
        <v>0</v>
      </c>
      <c r="F277" s="29"/>
    </row>
    <row r="278" spans="1:34" ht="18.75" x14ac:dyDescent="0.4">
      <c r="A278" s="34" t="s">
        <v>113</v>
      </c>
      <c r="B278" s="40"/>
      <c r="C278" s="40"/>
      <c r="D278" s="40"/>
      <c r="E278" s="51"/>
      <c r="F278" s="29"/>
    </row>
    <row r="279" spans="1:34" x14ac:dyDescent="0.25">
      <c r="A279" s="59"/>
      <c r="B279" s="58"/>
      <c r="C279" s="58"/>
      <c r="D279" s="58"/>
      <c r="E279" s="58">
        <f t="shared" ref="E279" si="51">+B279+C279+D279</f>
        <v>0</v>
      </c>
      <c r="F279" s="29"/>
    </row>
    <row r="280" spans="1:34" x14ac:dyDescent="0.25">
      <c r="A280" s="9"/>
      <c r="B280" s="40"/>
      <c r="C280" s="40"/>
      <c r="D280" s="40"/>
      <c r="E280" s="51"/>
      <c r="F280" s="29"/>
    </row>
    <row r="281" spans="1:34" ht="15.75" x14ac:dyDescent="0.3">
      <c r="A281" s="173" t="s">
        <v>41</v>
      </c>
      <c r="B281" s="173"/>
      <c r="C281" s="173"/>
      <c r="D281" s="173"/>
      <c r="E281" s="173"/>
      <c r="F281" s="78"/>
      <c r="G281" s="78"/>
      <c r="H281" s="78"/>
    </row>
    <row r="282" spans="1:34" s="20" customFormat="1" ht="18.75" x14ac:dyDescent="0.4">
      <c r="A282" s="19"/>
      <c r="B282" s="45"/>
      <c r="C282" s="45"/>
      <c r="D282" s="45"/>
      <c r="E282" s="45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</row>
    <row r="283" spans="1:34" s="20" customFormat="1" ht="30" x14ac:dyDescent="0.4">
      <c r="A283" s="33" t="s">
        <v>105</v>
      </c>
      <c r="B283" s="38" t="s">
        <v>106</v>
      </c>
      <c r="C283" s="38" t="s">
        <v>107</v>
      </c>
      <c r="D283" s="38" t="s">
        <v>108</v>
      </c>
      <c r="E283" s="38" t="s">
        <v>109</v>
      </c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</row>
    <row r="284" spans="1:34" s="20" customFormat="1" ht="18.75" x14ac:dyDescent="0.4">
      <c r="A284" s="32" t="s">
        <v>110</v>
      </c>
      <c r="B284" s="37">
        <f>SUM(B285:B303)</f>
        <v>78990</v>
      </c>
      <c r="C284" s="37">
        <f t="shared" ref="C284:E284" si="52">SUM(C285:C303)</f>
        <v>0</v>
      </c>
      <c r="D284" s="37">
        <f t="shared" si="52"/>
        <v>0</v>
      </c>
      <c r="E284" s="37">
        <f t="shared" si="52"/>
        <v>78990</v>
      </c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</row>
    <row r="285" spans="1:34" s="3" customFormat="1" ht="11.25" customHeight="1" x14ac:dyDescent="0.15">
      <c r="A285" s="59" t="s">
        <v>1</v>
      </c>
      <c r="B285" s="58">
        <v>5300</v>
      </c>
      <c r="C285" s="58"/>
      <c r="D285" s="58"/>
      <c r="E285" s="58">
        <f t="shared" ref="E285:E294" si="53">+B285+C285+D285</f>
        <v>5300</v>
      </c>
      <c r="F285" s="4"/>
      <c r="G285" s="4"/>
      <c r="I285" s="4"/>
      <c r="K285" s="4"/>
      <c r="M285" s="4"/>
      <c r="O285" s="4"/>
      <c r="Q285" s="4"/>
      <c r="S285" s="4"/>
      <c r="U285" s="4"/>
      <c r="W285" s="4"/>
      <c r="Y285" s="4"/>
      <c r="AA285" s="4"/>
      <c r="AC285" s="4"/>
      <c r="AE285" s="4"/>
      <c r="AG285" s="4"/>
    </row>
    <row r="286" spans="1:34" s="3" customFormat="1" ht="11.25" customHeight="1" x14ac:dyDescent="0.15">
      <c r="A286" s="59" t="s">
        <v>2</v>
      </c>
      <c r="B286" s="77">
        <v>3000</v>
      </c>
      <c r="C286" s="52"/>
      <c r="D286" s="58"/>
      <c r="E286" s="58">
        <f t="shared" si="53"/>
        <v>3000</v>
      </c>
      <c r="F286" s="8"/>
      <c r="G286" s="8"/>
      <c r="H286" s="9"/>
      <c r="I286" s="8"/>
      <c r="J286" s="7"/>
      <c r="K286" s="8"/>
      <c r="L286" s="7"/>
      <c r="M286" s="8"/>
      <c r="N286" s="7"/>
      <c r="O286" s="8"/>
      <c r="P286" s="7"/>
      <c r="Q286" s="8"/>
      <c r="R286" s="7"/>
      <c r="S286" s="8"/>
      <c r="T286" s="7"/>
      <c r="U286" s="8"/>
      <c r="V286" s="7"/>
      <c r="W286" s="8"/>
      <c r="X286" s="7"/>
      <c r="Y286" s="8"/>
      <c r="Z286" s="7"/>
      <c r="AA286" s="8"/>
      <c r="AB286" s="7"/>
      <c r="AC286" s="8"/>
      <c r="AD286" s="7"/>
      <c r="AE286" s="8"/>
      <c r="AF286" s="7"/>
      <c r="AG286" s="8"/>
      <c r="AH286" s="7"/>
    </row>
    <row r="287" spans="1:34" s="3" customFormat="1" ht="11.25" customHeight="1" x14ac:dyDescent="0.15">
      <c r="A287" s="59" t="s">
        <v>3</v>
      </c>
      <c r="B287" s="77">
        <v>2000</v>
      </c>
      <c r="C287" s="52"/>
      <c r="D287" s="58"/>
      <c r="E287" s="58">
        <f t="shared" si="53"/>
        <v>2000</v>
      </c>
      <c r="F287" s="8"/>
      <c r="G287" s="8"/>
      <c r="H287" s="9"/>
      <c r="I287" s="8"/>
      <c r="J287" s="7"/>
      <c r="K287" s="8"/>
      <c r="L287" s="7"/>
      <c r="M287" s="8"/>
      <c r="N287" s="7"/>
      <c r="O287" s="8"/>
      <c r="P287" s="7"/>
      <c r="Q287" s="8"/>
      <c r="R287" s="7"/>
      <c r="S287" s="8"/>
      <c r="T287" s="7"/>
      <c r="U287" s="8"/>
      <c r="V287" s="7"/>
      <c r="W287" s="8"/>
      <c r="X287" s="7"/>
      <c r="Y287" s="8"/>
      <c r="Z287" s="7"/>
      <c r="AA287" s="8"/>
      <c r="AB287" s="7"/>
      <c r="AC287" s="8"/>
      <c r="AD287" s="7"/>
      <c r="AE287" s="8"/>
      <c r="AF287" s="7"/>
      <c r="AG287" s="8"/>
      <c r="AH287" s="7"/>
    </row>
    <row r="288" spans="1:34" x14ac:dyDescent="0.25">
      <c r="A288" s="59" t="s">
        <v>39</v>
      </c>
      <c r="B288" s="58">
        <v>10000</v>
      </c>
      <c r="C288" s="58"/>
      <c r="D288" s="58"/>
      <c r="E288" s="58">
        <f t="shared" si="53"/>
        <v>10000</v>
      </c>
    </row>
    <row r="289" spans="1:6" x14ac:dyDescent="0.25">
      <c r="A289" s="59" t="s">
        <v>18</v>
      </c>
      <c r="B289" s="58">
        <v>1000</v>
      </c>
      <c r="C289" s="58"/>
      <c r="D289" s="58"/>
      <c r="E289" s="58">
        <f t="shared" si="53"/>
        <v>1000</v>
      </c>
    </row>
    <row r="290" spans="1:6" x14ac:dyDescent="0.25">
      <c r="A290" s="59" t="s">
        <v>8</v>
      </c>
      <c r="B290" s="58">
        <v>1668</v>
      </c>
      <c r="C290" s="58"/>
      <c r="D290" s="58"/>
      <c r="E290" s="58">
        <f t="shared" si="53"/>
        <v>1668</v>
      </c>
    </row>
    <row r="291" spans="1:6" x14ac:dyDescent="0.25">
      <c r="A291" s="59" t="s">
        <v>10</v>
      </c>
      <c r="B291" s="58">
        <v>20000</v>
      </c>
      <c r="C291" s="58"/>
      <c r="D291" s="58"/>
      <c r="E291" s="58">
        <f t="shared" si="53"/>
        <v>20000</v>
      </c>
    </row>
    <row r="292" spans="1:6" x14ac:dyDescent="0.25">
      <c r="A292" s="59" t="s">
        <v>11</v>
      </c>
      <c r="B292" s="58">
        <v>3800</v>
      </c>
      <c r="C292" s="58"/>
      <c r="D292" s="58"/>
      <c r="E292" s="58">
        <f t="shared" si="53"/>
        <v>3800</v>
      </c>
    </row>
    <row r="293" spans="1:6" x14ac:dyDescent="0.25">
      <c r="A293" s="59" t="s">
        <v>40</v>
      </c>
      <c r="B293" s="58">
        <v>17500</v>
      </c>
      <c r="C293" s="58"/>
      <c r="D293" s="58"/>
      <c r="E293" s="58">
        <f t="shared" si="53"/>
        <v>17500</v>
      </c>
    </row>
    <row r="294" spans="1:6" x14ac:dyDescent="0.25">
      <c r="A294" s="117" t="s">
        <v>171</v>
      </c>
      <c r="B294" s="58">
        <v>14722</v>
      </c>
      <c r="C294" s="63"/>
      <c r="D294" s="58"/>
      <c r="E294" s="58">
        <f t="shared" si="53"/>
        <v>14722</v>
      </c>
      <c r="F294" s="36">
        <f>SUM(E285:E294)</f>
        <v>78990</v>
      </c>
    </row>
    <row r="295" spans="1:6" x14ac:dyDescent="0.25">
      <c r="A295" s="9"/>
      <c r="B295" s="40"/>
      <c r="C295" s="40"/>
      <c r="D295" s="40"/>
      <c r="E295" s="51"/>
      <c r="F295" s="29" t="s">
        <v>75</v>
      </c>
    </row>
    <row r="296" spans="1:6" ht="18.75" x14ac:dyDescent="0.4">
      <c r="A296" s="32" t="s">
        <v>111</v>
      </c>
      <c r="B296" s="40"/>
      <c r="C296" s="40"/>
      <c r="D296" s="40"/>
      <c r="E296" s="51"/>
      <c r="F296" s="29"/>
    </row>
    <row r="297" spans="1:6" x14ac:dyDescent="0.25">
      <c r="A297" s="59"/>
      <c r="B297" s="58"/>
      <c r="C297" s="58"/>
      <c r="D297" s="58"/>
      <c r="E297" s="58">
        <f t="shared" ref="E297:E298" si="54">+B297+C297+D297</f>
        <v>0</v>
      </c>
      <c r="F297" s="29"/>
    </row>
    <row r="298" spans="1:6" x14ac:dyDescent="0.25">
      <c r="A298" s="59"/>
      <c r="B298" s="58"/>
      <c r="C298" s="58"/>
      <c r="D298" s="58"/>
      <c r="E298" s="58">
        <f t="shared" si="54"/>
        <v>0</v>
      </c>
      <c r="F298" s="29"/>
    </row>
    <row r="299" spans="1:6" ht="18.75" x14ac:dyDescent="0.4">
      <c r="A299" s="32" t="s">
        <v>112</v>
      </c>
      <c r="B299" s="40"/>
      <c r="C299" s="40"/>
      <c r="D299" s="40"/>
      <c r="E299" s="51"/>
      <c r="F299" s="29"/>
    </row>
    <row r="300" spans="1:6" x14ac:dyDescent="0.25">
      <c r="A300" s="60" t="s">
        <v>120</v>
      </c>
      <c r="B300" s="58">
        <v>0</v>
      </c>
      <c r="C300" s="58"/>
      <c r="D300" s="58"/>
      <c r="E300" s="58">
        <f t="shared" ref="E300:E301" si="55">+B300+C300+D300</f>
        <v>0</v>
      </c>
      <c r="F300" s="29"/>
    </row>
    <row r="301" spans="1:6" x14ac:dyDescent="0.25">
      <c r="A301" s="60" t="s">
        <v>121</v>
      </c>
      <c r="B301" s="61">
        <v>0</v>
      </c>
      <c r="C301" s="58"/>
      <c r="D301" s="58"/>
      <c r="E301" s="58">
        <f t="shared" si="55"/>
        <v>0</v>
      </c>
      <c r="F301" s="29"/>
    </row>
    <row r="302" spans="1:6" ht="18.75" x14ac:dyDescent="0.4">
      <c r="A302" s="34" t="s">
        <v>113</v>
      </c>
      <c r="B302" s="40"/>
      <c r="C302" s="40"/>
      <c r="D302" s="40"/>
      <c r="E302" s="51"/>
      <c r="F302" s="29"/>
    </row>
    <row r="303" spans="1:6" x14ac:dyDescent="0.25">
      <c r="A303" s="59"/>
      <c r="B303" s="58"/>
      <c r="C303" s="58"/>
      <c r="D303" s="58"/>
      <c r="E303" s="58">
        <f t="shared" ref="E303" si="56">+B303+C303+D303</f>
        <v>0</v>
      </c>
      <c r="F303" s="29"/>
    </row>
    <row r="304" spans="1:6" x14ac:dyDescent="0.25">
      <c r="A304" s="9"/>
      <c r="B304" s="40"/>
      <c r="C304" s="40"/>
      <c r="D304" s="40"/>
      <c r="E304" s="51"/>
      <c r="F304" s="29"/>
    </row>
    <row r="305" spans="1:34" ht="19.5" x14ac:dyDescent="0.4">
      <c r="A305" s="172" t="s">
        <v>42</v>
      </c>
      <c r="B305" s="172"/>
      <c r="C305" s="172"/>
      <c r="D305" s="172"/>
      <c r="E305" s="172"/>
      <c r="F305" s="79"/>
      <c r="G305" s="79"/>
    </row>
    <row r="306" spans="1:34" s="20" customFormat="1" ht="18.75" x14ac:dyDescent="0.4">
      <c r="A306" s="19"/>
      <c r="B306" s="45"/>
      <c r="C306" s="45"/>
      <c r="D306" s="45"/>
      <c r="E306" s="45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</row>
    <row r="307" spans="1:34" s="20" customFormat="1" ht="30" x14ac:dyDescent="0.4">
      <c r="A307" s="33" t="s">
        <v>105</v>
      </c>
      <c r="B307" s="38" t="s">
        <v>106</v>
      </c>
      <c r="C307" s="38" t="s">
        <v>107</v>
      </c>
      <c r="D307" s="38" t="s">
        <v>108</v>
      </c>
      <c r="E307" s="38" t="s">
        <v>109</v>
      </c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</row>
    <row r="308" spans="1:34" s="20" customFormat="1" ht="18.75" x14ac:dyDescent="0.4">
      <c r="A308" s="32" t="s">
        <v>110</v>
      </c>
      <c r="B308" s="37">
        <f>SUM(B309:B326)</f>
        <v>1953200</v>
      </c>
      <c r="C308" s="37">
        <f t="shared" ref="C308:E308" si="57">SUM(C309:C326)</f>
        <v>0</v>
      </c>
      <c r="D308" s="37">
        <f t="shared" si="57"/>
        <v>0</v>
      </c>
      <c r="E308" s="37">
        <f t="shared" si="57"/>
        <v>1953200</v>
      </c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</row>
    <row r="309" spans="1:34" s="3" customFormat="1" ht="11.25" customHeight="1" x14ac:dyDescent="0.15">
      <c r="A309" s="59" t="s">
        <v>1</v>
      </c>
      <c r="B309" s="58">
        <v>15000</v>
      </c>
      <c r="C309" s="58"/>
      <c r="D309" s="58"/>
      <c r="E309" s="58">
        <f t="shared" ref="E309:E317" si="58">+B309+C309+D309</f>
        <v>15000</v>
      </c>
      <c r="F309" s="4"/>
      <c r="G309" s="4"/>
      <c r="I309" s="4"/>
      <c r="K309" s="4"/>
      <c r="M309" s="4"/>
      <c r="O309" s="4"/>
      <c r="Q309" s="4"/>
      <c r="S309" s="4"/>
      <c r="U309" s="4"/>
      <c r="W309" s="4"/>
      <c r="Y309" s="4"/>
      <c r="AA309" s="4"/>
      <c r="AC309" s="4"/>
      <c r="AE309" s="4"/>
      <c r="AG309" s="4"/>
    </row>
    <row r="310" spans="1:34" s="3" customFormat="1" ht="11.25" customHeight="1" x14ac:dyDescent="0.15">
      <c r="A310" s="59" t="s">
        <v>2</v>
      </c>
      <c r="B310" s="77">
        <v>9000</v>
      </c>
      <c r="C310" s="52"/>
      <c r="D310" s="58"/>
      <c r="E310" s="58">
        <f t="shared" si="58"/>
        <v>9000</v>
      </c>
      <c r="F310" s="8"/>
      <c r="G310" s="8"/>
      <c r="H310" s="9"/>
      <c r="I310" s="8"/>
      <c r="J310" s="7"/>
      <c r="K310" s="8"/>
      <c r="L310" s="7"/>
      <c r="M310" s="8"/>
      <c r="N310" s="7"/>
      <c r="O310" s="8"/>
      <c r="P310" s="7"/>
      <c r="Q310" s="8"/>
      <c r="R310" s="7"/>
      <c r="S310" s="8"/>
      <c r="T310" s="7"/>
      <c r="U310" s="8"/>
      <c r="V310" s="7"/>
      <c r="W310" s="8"/>
      <c r="X310" s="7"/>
      <c r="Y310" s="8"/>
      <c r="Z310" s="7"/>
      <c r="AA310" s="8"/>
      <c r="AB310" s="7"/>
      <c r="AC310" s="8"/>
      <c r="AD310" s="7"/>
      <c r="AE310" s="8"/>
      <c r="AF310" s="7"/>
      <c r="AG310" s="8"/>
      <c r="AH310" s="7"/>
    </row>
    <row r="311" spans="1:34" s="3" customFormat="1" ht="11.25" customHeight="1" x14ac:dyDescent="0.15">
      <c r="A311" s="59" t="s">
        <v>3</v>
      </c>
      <c r="B311" s="77">
        <v>4000</v>
      </c>
      <c r="C311" s="52"/>
      <c r="D311" s="58"/>
      <c r="E311" s="58">
        <f t="shared" si="58"/>
        <v>4000</v>
      </c>
      <c r="F311" s="8"/>
      <c r="G311" s="8"/>
      <c r="H311" s="9"/>
      <c r="I311" s="8"/>
      <c r="J311" s="7"/>
      <c r="K311" s="8"/>
      <c r="L311" s="7"/>
      <c r="M311" s="8"/>
      <c r="N311" s="7"/>
      <c r="O311" s="8"/>
      <c r="P311" s="7"/>
      <c r="Q311" s="8"/>
      <c r="R311" s="7"/>
      <c r="S311" s="8"/>
      <c r="T311" s="7"/>
      <c r="U311" s="8"/>
      <c r="V311" s="7"/>
      <c r="W311" s="8"/>
      <c r="X311" s="7"/>
      <c r="Y311" s="8"/>
      <c r="Z311" s="7"/>
      <c r="AA311" s="8"/>
      <c r="AB311" s="7"/>
      <c r="AC311" s="8"/>
      <c r="AD311" s="7"/>
      <c r="AE311" s="8"/>
      <c r="AF311" s="7"/>
      <c r="AG311" s="8"/>
      <c r="AH311" s="7"/>
    </row>
    <row r="312" spans="1:34" x14ac:dyDescent="0.25">
      <c r="A312" s="59" t="s">
        <v>18</v>
      </c>
      <c r="B312" s="58">
        <v>5000</v>
      </c>
      <c r="C312" s="58"/>
      <c r="D312" s="58"/>
      <c r="E312" s="58">
        <f t="shared" si="58"/>
        <v>5000</v>
      </c>
    </row>
    <row r="313" spans="1:34" x14ac:dyDescent="0.25">
      <c r="A313" s="59" t="s">
        <v>19</v>
      </c>
      <c r="B313" s="58">
        <v>3500</v>
      </c>
      <c r="C313" s="58"/>
      <c r="D313" s="58"/>
      <c r="E313" s="58">
        <f t="shared" si="58"/>
        <v>3500</v>
      </c>
    </row>
    <row r="314" spans="1:34" x14ac:dyDescent="0.25">
      <c r="A314" s="59" t="s">
        <v>10</v>
      </c>
      <c r="B314" s="58">
        <v>18000</v>
      </c>
      <c r="C314" s="58"/>
      <c r="D314" s="58"/>
      <c r="E314" s="58">
        <f t="shared" si="58"/>
        <v>18000</v>
      </c>
    </row>
    <row r="315" spans="1:34" x14ac:dyDescent="0.25">
      <c r="A315" s="59" t="s">
        <v>11</v>
      </c>
      <c r="B315" s="58">
        <v>6000</v>
      </c>
      <c r="C315" s="58"/>
      <c r="D315" s="58"/>
      <c r="E315" s="58">
        <f t="shared" si="58"/>
        <v>6000</v>
      </c>
    </row>
    <row r="316" spans="1:34" x14ac:dyDescent="0.25">
      <c r="A316" s="59" t="s">
        <v>172</v>
      </c>
      <c r="B316" s="58">
        <v>2000</v>
      </c>
      <c r="C316" s="58"/>
      <c r="D316" s="58"/>
      <c r="E316" s="58">
        <f t="shared" si="58"/>
        <v>2000</v>
      </c>
    </row>
    <row r="317" spans="1:34" x14ac:dyDescent="0.25">
      <c r="A317" s="117" t="s">
        <v>171</v>
      </c>
      <c r="B317" s="58">
        <v>7000</v>
      </c>
      <c r="C317" s="63"/>
      <c r="D317" s="58"/>
      <c r="E317" s="58">
        <f t="shared" si="58"/>
        <v>7000</v>
      </c>
      <c r="F317" s="36">
        <f>SUM(E309:E317)</f>
        <v>69500</v>
      </c>
    </row>
    <row r="318" spans="1:34" x14ac:dyDescent="0.25">
      <c r="A318" s="9"/>
      <c r="B318" s="40"/>
      <c r="C318" s="40"/>
      <c r="D318" s="40"/>
      <c r="E318" s="51"/>
      <c r="F318" s="29" t="s">
        <v>75</v>
      </c>
    </row>
    <row r="319" spans="1:34" ht="18.75" x14ac:dyDescent="0.4">
      <c r="A319" s="32" t="s">
        <v>111</v>
      </c>
      <c r="B319" s="40"/>
      <c r="C319" s="40"/>
      <c r="D319" s="40"/>
      <c r="E319" s="51"/>
      <c r="F319" s="29"/>
    </row>
    <row r="320" spans="1:34" x14ac:dyDescent="0.25">
      <c r="A320" s="59"/>
      <c r="B320" s="58"/>
      <c r="C320" s="58"/>
      <c r="D320" s="58"/>
      <c r="E320" s="58">
        <f t="shared" ref="E320:E321" si="59">+B320+C320+D320</f>
        <v>0</v>
      </c>
      <c r="F320" s="29"/>
    </row>
    <row r="321" spans="1:34" x14ac:dyDescent="0.25">
      <c r="A321" s="59"/>
      <c r="B321" s="58"/>
      <c r="C321" s="58"/>
      <c r="D321" s="58"/>
      <c r="E321" s="58">
        <f t="shared" si="59"/>
        <v>0</v>
      </c>
      <c r="F321" s="29"/>
    </row>
    <row r="322" spans="1:34" ht="18.75" x14ac:dyDescent="0.4">
      <c r="A322" s="32" t="s">
        <v>112</v>
      </c>
      <c r="B322" s="40"/>
      <c r="C322" s="40"/>
      <c r="D322" s="40"/>
      <c r="E322" s="51"/>
      <c r="F322" s="29"/>
    </row>
    <row r="323" spans="1:34" x14ac:dyDescent="0.25">
      <c r="A323" s="60" t="s">
        <v>124</v>
      </c>
      <c r="B323" s="58">
        <v>1883700</v>
      </c>
      <c r="C323" s="58"/>
      <c r="D323" s="58"/>
      <c r="E323" s="58">
        <f t="shared" ref="E323:E324" si="60">+B323+C323+D323</f>
        <v>1883700</v>
      </c>
      <c r="F323" s="29">
        <f>+E323</f>
        <v>1883700</v>
      </c>
    </row>
    <row r="324" spans="1:34" x14ac:dyDescent="0.25">
      <c r="A324" s="60" t="s">
        <v>75</v>
      </c>
      <c r="B324" s="61">
        <v>0</v>
      </c>
      <c r="C324" s="58"/>
      <c r="D324" s="58"/>
      <c r="E324" s="58">
        <f t="shared" si="60"/>
        <v>0</v>
      </c>
      <c r="F324" s="29"/>
    </row>
    <row r="325" spans="1:34" ht="18.75" x14ac:dyDescent="0.4">
      <c r="A325" s="34" t="s">
        <v>113</v>
      </c>
      <c r="B325" s="40"/>
      <c r="C325" s="40"/>
      <c r="D325" s="40"/>
      <c r="E325" s="51"/>
      <c r="F325" s="29"/>
    </row>
    <row r="326" spans="1:34" x14ac:dyDescent="0.25">
      <c r="A326" s="59"/>
      <c r="B326" s="58"/>
      <c r="C326" s="58"/>
      <c r="D326" s="58"/>
      <c r="E326" s="58">
        <f t="shared" ref="E326" si="61">+B326+C326+D326</f>
        <v>0</v>
      </c>
      <c r="F326" s="29"/>
    </row>
    <row r="327" spans="1:34" x14ac:dyDescent="0.25">
      <c r="A327" s="9"/>
      <c r="B327" s="40"/>
      <c r="C327" s="40"/>
      <c r="D327" s="40"/>
      <c r="E327" s="51"/>
      <c r="F327" s="29"/>
    </row>
    <row r="328" spans="1:34" x14ac:dyDescent="0.25">
      <c r="A328" s="9"/>
      <c r="B328" s="40"/>
      <c r="C328" s="40"/>
      <c r="D328" s="40"/>
      <c r="E328" s="51"/>
      <c r="F328" s="29"/>
    </row>
    <row r="329" spans="1:34" x14ac:dyDescent="0.25">
      <c r="A329" s="9"/>
      <c r="B329" s="40"/>
      <c r="C329" s="40"/>
      <c r="D329" s="40"/>
      <c r="E329" s="51"/>
      <c r="F329" s="29"/>
    </row>
    <row r="330" spans="1:34" ht="15.75" x14ac:dyDescent="0.3">
      <c r="A330" s="173" t="s">
        <v>43</v>
      </c>
      <c r="B330" s="173"/>
      <c r="C330" s="173"/>
      <c r="D330" s="173"/>
      <c r="E330" s="173"/>
      <c r="F330" s="78"/>
      <c r="G330" s="78"/>
    </row>
    <row r="331" spans="1:34" s="20" customFormat="1" ht="18.75" x14ac:dyDescent="0.4">
      <c r="A331" s="19"/>
      <c r="B331" s="45"/>
      <c r="C331" s="45"/>
      <c r="D331" s="45"/>
      <c r="E331" s="45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</row>
    <row r="332" spans="1:34" s="20" customFormat="1" ht="30" x14ac:dyDescent="0.4">
      <c r="A332" s="33" t="s">
        <v>105</v>
      </c>
      <c r="B332" s="38" t="s">
        <v>106</v>
      </c>
      <c r="C332" s="38" t="s">
        <v>107</v>
      </c>
      <c r="D332" s="38" t="s">
        <v>108</v>
      </c>
      <c r="E332" s="38" t="s">
        <v>109</v>
      </c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</row>
    <row r="333" spans="1:34" s="20" customFormat="1" ht="18.75" x14ac:dyDescent="0.4">
      <c r="A333" s="32" t="s">
        <v>110</v>
      </c>
      <c r="B333" s="136">
        <f>SUM(B334:B350)</f>
        <v>97107</v>
      </c>
      <c r="C333" s="136">
        <f t="shared" ref="C333:E333" si="62">SUM(C334:C350)</f>
        <v>0</v>
      </c>
      <c r="D333" s="136">
        <f t="shared" si="62"/>
        <v>0</v>
      </c>
      <c r="E333" s="136">
        <f t="shared" si="62"/>
        <v>97107</v>
      </c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</row>
    <row r="334" spans="1:34" s="3" customFormat="1" ht="11.25" customHeight="1" x14ac:dyDescent="0.15">
      <c r="A334" s="59" t="s">
        <v>1</v>
      </c>
      <c r="B334" s="58">
        <v>4000</v>
      </c>
      <c r="C334" s="58"/>
      <c r="D334" s="58"/>
      <c r="E334" s="58">
        <f t="shared" ref="E334:E341" si="63">+B334+C334+D334</f>
        <v>4000</v>
      </c>
      <c r="F334" s="4"/>
      <c r="G334" s="4"/>
      <c r="I334" s="4"/>
      <c r="K334" s="4"/>
      <c r="M334" s="4"/>
      <c r="O334" s="4"/>
      <c r="Q334" s="4"/>
      <c r="S334" s="4"/>
      <c r="U334" s="4"/>
      <c r="W334" s="4"/>
      <c r="Y334" s="4"/>
      <c r="AA334" s="4"/>
      <c r="AC334" s="4"/>
      <c r="AE334" s="4"/>
      <c r="AG334" s="4"/>
    </row>
    <row r="335" spans="1:34" s="3" customFormat="1" ht="11.25" customHeight="1" x14ac:dyDescent="0.15">
      <c r="A335" s="59" t="s">
        <v>2</v>
      </c>
      <c r="B335" s="77">
        <v>9000</v>
      </c>
      <c r="C335" s="52"/>
      <c r="D335" s="58"/>
      <c r="E335" s="58">
        <f t="shared" si="63"/>
        <v>9000</v>
      </c>
      <c r="F335" s="8"/>
      <c r="G335" s="8"/>
      <c r="H335" s="9"/>
      <c r="I335" s="8"/>
      <c r="J335" s="7"/>
      <c r="K335" s="8"/>
      <c r="L335" s="7"/>
      <c r="M335" s="8"/>
      <c r="N335" s="7"/>
      <c r="O335" s="8"/>
      <c r="P335" s="7"/>
      <c r="Q335" s="8"/>
      <c r="R335" s="7"/>
      <c r="S335" s="8"/>
      <c r="T335" s="7"/>
      <c r="U335" s="8"/>
      <c r="V335" s="7"/>
      <c r="W335" s="8"/>
      <c r="X335" s="7"/>
      <c r="Y335" s="8"/>
      <c r="Z335" s="7"/>
      <c r="AA335" s="8"/>
      <c r="AB335" s="7"/>
      <c r="AC335" s="8"/>
      <c r="AD335" s="7"/>
      <c r="AE335" s="8"/>
      <c r="AF335" s="7"/>
      <c r="AG335" s="8"/>
      <c r="AH335" s="7"/>
    </row>
    <row r="336" spans="1:34" x14ac:dyDescent="0.25">
      <c r="A336" s="59" t="s">
        <v>18</v>
      </c>
      <c r="B336" s="58">
        <v>2500</v>
      </c>
      <c r="C336" s="58"/>
      <c r="D336" s="58"/>
      <c r="E336" s="58">
        <f t="shared" si="63"/>
        <v>2500</v>
      </c>
    </row>
    <row r="337" spans="1:6" x14ac:dyDescent="0.25">
      <c r="A337" s="59" t="s">
        <v>19</v>
      </c>
      <c r="B337" s="58">
        <v>1500</v>
      </c>
      <c r="C337" s="58"/>
      <c r="D337" s="58"/>
      <c r="E337" s="58">
        <f t="shared" si="63"/>
        <v>1500</v>
      </c>
    </row>
    <row r="338" spans="1:6" x14ac:dyDescent="0.25">
      <c r="A338" s="59" t="s">
        <v>10</v>
      </c>
      <c r="B338" s="58">
        <v>50000</v>
      </c>
      <c r="C338" s="58"/>
      <c r="D338" s="58"/>
      <c r="E338" s="58">
        <f t="shared" si="63"/>
        <v>50000</v>
      </c>
    </row>
    <row r="339" spans="1:6" x14ac:dyDescent="0.25">
      <c r="A339" s="59" t="s">
        <v>11</v>
      </c>
      <c r="B339" s="58">
        <v>7800</v>
      </c>
      <c r="C339" s="58"/>
      <c r="D339" s="58"/>
      <c r="E339" s="58">
        <f t="shared" si="63"/>
        <v>7800</v>
      </c>
    </row>
    <row r="340" spans="1:6" x14ac:dyDescent="0.25">
      <c r="A340" s="59" t="s">
        <v>12</v>
      </c>
      <c r="B340" s="58">
        <v>2307</v>
      </c>
      <c r="C340" s="58"/>
      <c r="D340" s="58"/>
      <c r="E340" s="58">
        <f t="shared" si="63"/>
        <v>2307</v>
      </c>
    </row>
    <row r="341" spans="1:6" x14ac:dyDescent="0.25">
      <c r="A341" s="117" t="s">
        <v>171</v>
      </c>
      <c r="B341" s="58">
        <v>20000</v>
      </c>
      <c r="C341" s="63"/>
      <c r="D341" s="58"/>
      <c r="E341" s="58">
        <f t="shared" si="63"/>
        <v>20000</v>
      </c>
      <c r="F341" s="36">
        <f>SUM(E334:E341)</f>
        <v>97107</v>
      </c>
    </row>
    <row r="342" spans="1:6" x14ac:dyDescent="0.25">
      <c r="F342" s="29" t="s">
        <v>75</v>
      </c>
    </row>
    <row r="343" spans="1:6" ht="18.75" x14ac:dyDescent="0.4">
      <c r="A343" s="32" t="s">
        <v>111</v>
      </c>
      <c r="B343" s="40"/>
      <c r="C343" s="40"/>
      <c r="D343" s="40"/>
      <c r="E343" s="51"/>
      <c r="F343" s="29"/>
    </row>
    <row r="344" spans="1:6" x14ac:dyDescent="0.25">
      <c r="A344" s="59"/>
      <c r="B344" s="58"/>
      <c r="C344" s="58"/>
      <c r="D344" s="58"/>
      <c r="E344" s="58">
        <f t="shared" ref="E344:E345" si="64">+B344+C344+D344</f>
        <v>0</v>
      </c>
      <c r="F344" s="29"/>
    </row>
    <row r="345" spans="1:6" x14ac:dyDescent="0.25">
      <c r="A345" s="59"/>
      <c r="B345" s="58"/>
      <c r="C345" s="58"/>
      <c r="D345" s="58"/>
      <c r="E345" s="58">
        <f t="shared" si="64"/>
        <v>0</v>
      </c>
      <c r="F345" s="29"/>
    </row>
    <row r="346" spans="1:6" ht="18.75" x14ac:dyDescent="0.4">
      <c r="A346" s="32" t="s">
        <v>112</v>
      </c>
      <c r="B346" s="40"/>
      <c r="C346" s="40"/>
      <c r="D346" s="40"/>
      <c r="E346" s="51"/>
      <c r="F346" s="29"/>
    </row>
    <row r="347" spans="1:6" x14ac:dyDescent="0.25">
      <c r="A347" s="60" t="s">
        <v>124</v>
      </c>
      <c r="B347" s="58">
        <v>0</v>
      </c>
      <c r="C347" s="58"/>
      <c r="D347" s="58"/>
      <c r="E347" s="58">
        <f t="shared" ref="E347:E348" si="65">+B347+C347+D347</f>
        <v>0</v>
      </c>
      <c r="F347" s="29"/>
    </row>
    <row r="348" spans="1:6" x14ac:dyDescent="0.25">
      <c r="A348" s="60" t="s">
        <v>75</v>
      </c>
      <c r="B348" s="61">
        <v>0</v>
      </c>
      <c r="C348" s="58"/>
      <c r="D348" s="58"/>
      <c r="E348" s="58">
        <f t="shared" si="65"/>
        <v>0</v>
      </c>
      <c r="F348" s="29"/>
    </row>
    <row r="349" spans="1:6" ht="18.75" x14ac:dyDescent="0.4">
      <c r="A349" s="34" t="s">
        <v>113</v>
      </c>
      <c r="B349" s="40"/>
      <c r="C349" s="40"/>
      <c r="D349" s="40"/>
      <c r="E349" s="51"/>
      <c r="F349" s="29"/>
    </row>
    <row r="350" spans="1:6" x14ac:dyDescent="0.25">
      <c r="A350" s="59"/>
      <c r="B350" s="58"/>
      <c r="C350" s="58"/>
      <c r="D350" s="58"/>
      <c r="E350" s="58">
        <f t="shared" ref="E350" si="66">+B350+C350+D350</f>
        <v>0</v>
      </c>
      <c r="F350" s="29"/>
    </row>
    <row r="351" spans="1:6" x14ac:dyDescent="0.25">
      <c r="F351" s="29"/>
    </row>
    <row r="352" spans="1:6" x14ac:dyDescent="0.25">
      <c r="F352" s="29"/>
    </row>
    <row r="353" spans="1:34" x14ac:dyDescent="0.25">
      <c r="F353" s="29"/>
    </row>
    <row r="354" spans="1:34" ht="15.75" x14ac:dyDescent="0.3">
      <c r="A354" s="171" t="s">
        <v>44</v>
      </c>
      <c r="B354" s="171"/>
      <c r="C354" s="171"/>
      <c r="D354" s="171"/>
      <c r="E354" s="171"/>
      <c r="F354" s="75"/>
      <c r="G354" s="75"/>
    </row>
    <row r="355" spans="1:34" s="20" customFormat="1" ht="18.75" x14ac:dyDescent="0.4">
      <c r="A355" s="19"/>
      <c r="B355" s="45"/>
      <c r="C355" s="45"/>
      <c r="D355" s="45"/>
      <c r="E355" s="45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</row>
    <row r="356" spans="1:34" s="20" customFormat="1" ht="30" x14ac:dyDescent="0.4">
      <c r="A356" s="33" t="s">
        <v>105</v>
      </c>
      <c r="B356" s="38" t="s">
        <v>106</v>
      </c>
      <c r="C356" s="38" t="s">
        <v>107</v>
      </c>
      <c r="D356" s="38" t="s">
        <v>108</v>
      </c>
      <c r="E356" s="38" t="s">
        <v>109</v>
      </c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</row>
    <row r="357" spans="1:34" s="20" customFormat="1" ht="18.75" x14ac:dyDescent="0.4">
      <c r="A357" s="32" t="s">
        <v>110</v>
      </c>
      <c r="B357" s="37">
        <f>SUM(B358:B368)</f>
        <v>425500</v>
      </c>
      <c r="C357" s="37">
        <f t="shared" ref="C357:E357" si="67">SUM(C358:C368)</f>
        <v>0</v>
      </c>
      <c r="D357" s="37">
        <f t="shared" si="67"/>
        <v>0</v>
      </c>
      <c r="E357" s="37">
        <f t="shared" si="67"/>
        <v>425500</v>
      </c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</row>
    <row r="358" spans="1:34" s="3" customFormat="1" ht="11.25" customHeight="1" x14ac:dyDescent="0.15">
      <c r="A358" s="59" t="s">
        <v>3</v>
      </c>
      <c r="B358" s="77">
        <v>2000</v>
      </c>
      <c r="C358" s="52"/>
      <c r="D358" s="58"/>
      <c r="E358" s="58">
        <f t="shared" ref="E358:E359" si="68">+B358+C358+D358</f>
        <v>2000</v>
      </c>
      <c r="F358" s="8"/>
      <c r="G358" s="8"/>
      <c r="H358" s="9"/>
      <c r="I358" s="8"/>
      <c r="J358" s="7"/>
      <c r="K358" s="8"/>
      <c r="L358" s="7"/>
      <c r="M358" s="8"/>
      <c r="N358" s="7"/>
      <c r="O358" s="8"/>
      <c r="P358" s="7"/>
      <c r="Q358" s="8"/>
      <c r="R358" s="7"/>
      <c r="S358" s="8"/>
      <c r="T358" s="7"/>
      <c r="U358" s="8"/>
      <c r="V358" s="7"/>
      <c r="W358" s="8"/>
      <c r="X358" s="7"/>
      <c r="Y358" s="8"/>
      <c r="Z358" s="7"/>
      <c r="AA358" s="8"/>
      <c r="AB358" s="7"/>
      <c r="AC358" s="8"/>
      <c r="AD358" s="7"/>
      <c r="AE358" s="8"/>
      <c r="AF358" s="7"/>
      <c r="AG358" s="8"/>
      <c r="AH358" s="7"/>
    </row>
    <row r="359" spans="1:34" x14ac:dyDescent="0.25">
      <c r="A359" s="59" t="s">
        <v>18</v>
      </c>
      <c r="B359" s="58">
        <v>5000</v>
      </c>
      <c r="C359" s="58"/>
      <c r="D359" s="58"/>
      <c r="E359" s="58">
        <f t="shared" si="68"/>
        <v>5000</v>
      </c>
      <c r="F359" s="36">
        <f>SUM(E358:E359)</f>
        <v>7000</v>
      </c>
    </row>
    <row r="360" spans="1:34" x14ac:dyDescent="0.25">
      <c r="A360" s="9"/>
      <c r="B360" s="40"/>
      <c r="C360" s="40"/>
      <c r="D360" s="40"/>
      <c r="E360" s="51"/>
      <c r="F360" s="29" t="s">
        <v>75</v>
      </c>
    </row>
    <row r="361" spans="1:34" ht="18.75" x14ac:dyDescent="0.4">
      <c r="A361" s="32" t="s">
        <v>111</v>
      </c>
      <c r="B361" s="40"/>
      <c r="C361" s="40"/>
      <c r="D361" s="40"/>
      <c r="E361" s="51"/>
      <c r="F361" s="29"/>
    </row>
    <row r="362" spans="1:34" x14ac:dyDescent="0.25">
      <c r="A362" s="59"/>
      <c r="B362" s="58"/>
      <c r="C362" s="58"/>
      <c r="D362" s="58"/>
      <c r="E362" s="58">
        <f t="shared" ref="E362:E363" si="69">+B362+C362+D362</f>
        <v>0</v>
      </c>
      <c r="F362" s="29"/>
    </row>
    <row r="363" spans="1:34" x14ac:dyDescent="0.25">
      <c r="A363" s="59"/>
      <c r="B363" s="58"/>
      <c r="C363" s="58"/>
      <c r="D363" s="58"/>
      <c r="E363" s="58">
        <f t="shared" si="69"/>
        <v>0</v>
      </c>
      <c r="F363" s="29"/>
    </row>
    <row r="364" spans="1:34" ht="18.75" x14ac:dyDescent="0.4">
      <c r="A364" s="32" t="s">
        <v>112</v>
      </c>
      <c r="B364" s="40"/>
      <c r="C364" s="40"/>
      <c r="D364" s="40"/>
      <c r="E364" s="51"/>
      <c r="F364" s="29"/>
    </row>
    <row r="365" spans="1:34" x14ac:dyDescent="0.25">
      <c r="A365" s="60" t="s">
        <v>124</v>
      </c>
      <c r="B365" s="58">
        <v>418500</v>
      </c>
      <c r="C365" s="58"/>
      <c r="D365" s="58"/>
      <c r="E365" s="58">
        <f t="shared" ref="E365:E366" si="70">+B365+C365+D365</f>
        <v>418500</v>
      </c>
      <c r="F365" s="29">
        <f>+E365</f>
        <v>418500</v>
      </c>
    </row>
    <row r="366" spans="1:34" x14ac:dyDescent="0.25">
      <c r="A366" s="60" t="s">
        <v>75</v>
      </c>
      <c r="B366" s="61">
        <v>0</v>
      </c>
      <c r="C366" s="58"/>
      <c r="D366" s="58"/>
      <c r="E366" s="58">
        <f t="shared" si="70"/>
        <v>0</v>
      </c>
      <c r="F366" s="29"/>
    </row>
    <row r="367" spans="1:34" ht="18.75" x14ac:dyDescent="0.4">
      <c r="A367" s="34" t="s">
        <v>113</v>
      </c>
      <c r="B367" s="40"/>
      <c r="C367" s="40"/>
      <c r="D367" s="40"/>
      <c r="E367" s="51"/>
      <c r="F367" s="29"/>
    </row>
    <row r="368" spans="1:34" x14ac:dyDescent="0.25">
      <c r="A368" s="59"/>
      <c r="B368" s="58"/>
      <c r="C368" s="58"/>
      <c r="D368" s="58"/>
      <c r="E368" s="58">
        <f t="shared" ref="E368" si="71">+B368+C368+D368</f>
        <v>0</v>
      </c>
      <c r="F368" s="29"/>
    </row>
    <row r="369" spans="1:34" x14ac:dyDescent="0.25">
      <c r="A369" s="9"/>
      <c r="B369" s="40"/>
      <c r="C369" s="40"/>
      <c r="D369" s="40"/>
      <c r="E369" s="51"/>
      <c r="F369" s="29"/>
    </row>
    <row r="370" spans="1:34" x14ac:dyDescent="0.25">
      <c r="A370" s="9"/>
      <c r="B370" s="40"/>
      <c r="C370" s="40"/>
      <c r="D370" s="40"/>
      <c r="E370" s="51"/>
      <c r="F370" s="29"/>
    </row>
    <row r="371" spans="1:34" x14ac:dyDescent="0.25">
      <c r="A371" s="174" t="s">
        <v>45</v>
      </c>
      <c r="B371" s="174"/>
      <c r="C371" s="174"/>
      <c r="D371" s="174"/>
      <c r="E371" s="174"/>
      <c r="F371" s="25"/>
      <c r="G371" s="25"/>
      <c r="H371" s="14"/>
      <c r="I371" s="14"/>
    </row>
    <row r="372" spans="1:34" s="20" customFormat="1" ht="18.75" x14ac:dyDescent="0.4">
      <c r="A372" s="19"/>
      <c r="B372" s="45"/>
      <c r="C372" s="45"/>
      <c r="D372" s="45"/>
      <c r="E372" s="45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</row>
    <row r="373" spans="1:34" s="20" customFormat="1" ht="30" x14ac:dyDescent="0.4">
      <c r="A373" s="33" t="s">
        <v>105</v>
      </c>
      <c r="B373" s="38" t="s">
        <v>106</v>
      </c>
      <c r="C373" s="38" t="s">
        <v>107</v>
      </c>
      <c r="D373" s="38" t="s">
        <v>108</v>
      </c>
      <c r="E373" s="38" t="s">
        <v>109</v>
      </c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</row>
    <row r="374" spans="1:34" s="20" customFormat="1" ht="18.75" x14ac:dyDescent="0.4">
      <c r="A374" s="32" t="s">
        <v>110</v>
      </c>
      <c r="B374" s="37">
        <f>SUM(B375:B389)</f>
        <v>37644</v>
      </c>
      <c r="C374" s="37">
        <f t="shared" ref="C374:E374" si="72">SUM(C375:C389)</f>
        <v>0</v>
      </c>
      <c r="D374" s="37">
        <f t="shared" si="72"/>
        <v>0</v>
      </c>
      <c r="E374" s="37">
        <f t="shared" si="72"/>
        <v>37644</v>
      </c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</row>
    <row r="375" spans="1:34" s="3" customFormat="1" ht="11.25" customHeight="1" x14ac:dyDescent="0.15">
      <c r="A375" s="59" t="s">
        <v>1</v>
      </c>
      <c r="B375" s="58">
        <v>5300</v>
      </c>
      <c r="C375" s="58"/>
      <c r="D375" s="58"/>
      <c r="E375" s="58">
        <f t="shared" ref="E375:E380" si="73">+B375+C375+D375</f>
        <v>5300</v>
      </c>
      <c r="F375" s="4"/>
      <c r="G375" s="4"/>
      <c r="I375" s="4"/>
      <c r="K375" s="4"/>
      <c r="M375" s="4"/>
      <c r="O375" s="4"/>
      <c r="Q375" s="4"/>
      <c r="S375" s="4"/>
      <c r="U375" s="4"/>
      <c r="W375" s="4"/>
      <c r="Y375" s="4"/>
      <c r="AA375" s="4"/>
      <c r="AC375" s="4"/>
      <c r="AE375" s="4"/>
      <c r="AG375" s="4"/>
    </row>
    <row r="376" spans="1:34" x14ac:dyDescent="0.25">
      <c r="A376" s="59" t="s">
        <v>39</v>
      </c>
      <c r="B376" s="58">
        <v>10000</v>
      </c>
      <c r="C376" s="58"/>
      <c r="D376" s="58"/>
      <c r="E376" s="58">
        <f t="shared" si="73"/>
        <v>10000</v>
      </c>
    </row>
    <row r="377" spans="1:34" x14ac:dyDescent="0.25">
      <c r="A377" s="59" t="s">
        <v>18</v>
      </c>
      <c r="B377" s="58">
        <v>1000</v>
      </c>
      <c r="C377" s="58"/>
      <c r="D377" s="58"/>
      <c r="E377" s="58">
        <f t="shared" si="73"/>
        <v>1000</v>
      </c>
    </row>
    <row r="378" spans="1:34" x14ac:dyDescent="0.25">
      <c r="A378" s="59" t="s">
        <v>125</v>
      </c>
      <c r="B378" s="58">
        <v>2544</v>
      </c>
      <c r="C378" s="58"/>
      <c r="D378" s="58"/>
      <c r="E378" s="58">
        <f t="shared" si="73"/>
        <v>2544</v>
      </c>
    </row>
    <row r="379" spans="1:34" x14ac:dyDescent="0.25">
      <c r="A379" s="59" t="s">
        <v>10</v>
      </c>
      <c r="B379" s="58">
        <v>15000</v>
      </c>
      <c r="C379" s="58"/>
      <c r="D379" s="58"/>
      <c r="E379" s="58">
        <f t="shared" si="73"/>
        <v>15000</v>
      </c>
    </row>
    <row r="380" spans="1:34" x14ac:dyDescent="0.25">
      <c r="A380" s="59" t="s">
        <v>11</v>
      </c>
      <c r="B380" s="58">
        <v>3800</v>
      </c>
      <c r="C380" s="58"/>
      <c r="D380" s="58"/>
      <c r="E380" s="58">
        <f t="shared" si="73"/>
        <v>3800</v>
      </c>
      <c r="F380" s="36">
        <f>SUM(E375:E380)</f>
        <v>37644</v>
      </c>
    </row>
    <row r="381" spans="1:34" x14ac:dyDescent="0.25">
      <c r="A381" s="9"/>
      <c r="B381" s="40"/>
      <c r="C381" s="40"/>
      <c r="D381" s="40"/>
      <c r="E381" s="51"/>
      <c r="F381" s="29" t="s">
        <v>75</v>
      </c>
    </row>
    <row r="382" spans="1:34" ht="18.75" x14ac:dyDescent="0.4">
      <c r="A382" s="32" t="s">
        <v>111</v>
      </c>
      <c r="B382" s="40"/>
      <c r="C382" s="40"/>
      <c r="D382" s="40"/>
      <c r="E382" s="51"/>
      <c r="F382" s="29"/>
    </row>
    <row r="383" spans="1:34" x14ac:dyDescent="0.25">
      <c r="A383" s="59"/>
      <c r="B383" s="58"/>
      <c r="C383" s="58"/>
      <c r="D383" s="58"/>
      <c r="E383" s="58">
        <f t="shared" ref="E383:E384" si="74">+B383+C383+D383</f>
        <v>0</v>
      </c>
      <c r="F383" s="29"/>
    </row>
    <row r="384" spans="1:34" x14ac:dyDescent="0.25">
      <c r="A384" s="59"/>
      <c r="B384" s="58"/>
      <c r="C384" s="58"/>
      <c r="D384" s="58"/>
      <c r="E384" s="58">
        <f t="shared" si="74"/>
        <v>0</v>
      </c>
      <c r="F384" s="29"/>
    </row>
    <row r="385" spans="1:33" ht="18.75" x14ac:dyDescent="0.4">
      <c r="A385" s="32" t="s">
        <v>112</v>
      </c>
      <c r="B385" s="40"/>
      <c r="C385" s="40"/>
      <c r="D385" s="40"/>
      <c r="E385" s="51"/>
      <c r="F385" s="29"/>
    </row>
    <row r="386" spans="1:33" x14ac:dyDescent="0.25">
      <c r="A386" s="60" t="s">
        <v>124</v>
      </c>
      <c r="B386" s="58">
        <v>0</v>
      </c>
      <c r="C386" s="58"/>
      <c r="D386" s="58"/>
      <c r="E386" s="58">
        <f t="shared" ref="E386:E387" si="75">+B386+C386+D386</f>
        <v>0</v>
      </c>
      <c r="F386" s="29"/>
    </row>
    <row r="387" spans="1:33" x14ac:dyDescent="0.25">
      <c r="A387" s="60" t="s">
        <v>75</v>
      </c>
      <c r="B387" s="61">
        <v>0</v>
      </c>
      <c r="C387" s="58"/>
      <c r="D387" s="58"/>
      <c r="E387" s="58">
        <f t="shared" si="75"/>
        <v>0</v>
      </c>
      <c r="F387" s="29"/>
    </row>
    <row r="388" spans="1:33" ht="18.75" x14ac:dyDescent="0.4">
      <c r="A388" s="34" t="s">
        <v>113</v>
      </c>
      <c r="B388" s="40"/>
      <c r="C388" s="40"/>
      <c r="D388" s="40"/>
      <c r="E388" s="51"/>
      <c r="F388" s="29"/>
    </row>
    <row r="389" spans="1:33" x14ac:dyDescent="0.25">
      <c r="A389" s="59"/>
      <c r="B389" s="58"/>
      <c r="C389" s="58"/>
      <c r="D389" s="58"/>
      <c r="E389" s="58">
        <f t="shared" ref="E389" si="76">+B389+C389+D389</f>
        <v>0</v>
      </c>
      <c r="F389" s="29"/>
    </row>
    <row r="390" spans="1:33" x14ac:dyDescent="0.25">
      <c r="A390" s="9"/>
      <c r="B390" s="40"/>
      <c r="C390" s="40"/>
      <c r="D390" s="40"/>
      <c r="E390" s="51"/>
      <c r="F390" s="29"/>
    </row>
    <row r="391" spans="1:33" x14ac:dyDescent="0.25">
      <c r="A391" s="9"/>
      <c r="B391" s="40"/>
      <c r="C391" s="40"/>
      <c r="D391" s="40"/>
      <c r="E391" s="51"/>
      <c r="F391" s="29"/>
    </row>
    <row r="392" spans="1:33" x14ac:dyDescent="0.25">
      <c r="A392" s="9"/>
      <c r="B392" s="40"/>
      <c r="C392" s="40"/>
      <c r="D392" s="40"/>
      <c r="E392" s="51"/>
      <c r="F392" s="29"/>
    </row>
    <row r="393" spans="1:33" x14ac:dyDescent="0.25">
      <c r="A393" s="175" t="s">
        <v>46</v>
      </c>
      <c r="B393" s="175"/>
      <c r="C393" s="175"/>
      <c r="D393" s="175"/>
      <c r="E393" s="175"/>
      <c r="F393" s="25"/>
      <c r="G393" s="25"/>
      <c r="H393" s="14"/>
      <c r="I393" s="14"/>
    </row>
    <row r="394" spans="1:33" s="14" customFormat="1" x14ac:dyDescent="0.25">
      <c r="A394" s="24"/>
      <c r="B394" s="46"/>
      <c r="C394" s="46"/>
      <c r="D394" s="46"/>
      <c r="E394" s="46"/>
      <c r="F394" s="25"/>
      <c r="G394" s="25"/>
    </row>
    <row r="395" spans="1:33" s="14" customFormat="1" ht="30" x14ac:dyDescent="0.25">
      <c r="A395" s="33" t="s">
        <v>105</v>
      </c>
      <c r="B395" s="38" t="s">
        <v>106</v>
      </c>
      <c r="C395" s="38" t="s">
        <v>107</v>
      </c>
      <c r="D395" s="38" t="s">
        <v>108</v>
      </c>
      <c r="E395" s="38" t="s">
        <v>109</v>
      </c>
      <c r="F395" s="25"/>
      <c r="G395" s="25"/>
    </row>
    <row r="396" spans="1:33" s="14" customFormat="1" ht="18.75" x14ac:dyDescent="0.4">
      <c r="A396" s="32" t="s">
        <v>110</v>
      </c>
      <c r="B396" s="37">
        <f>SUM(B397:B411)</f>
        <v>45700</v>
      </c>
      <c r="C396" s="37">
        <f t="shared" ref="C396:E396" si="77">SUM(C397:C411)</f>
        <v>0</v>
      </c>
      <c r="D396" s="37">
        <f t="shared" si="77"/>
        <v>0</v>
      </c>
      <c r="E396" s="37">
        <f t="shared" si="77"/>
        <v>45700</v>
      </c>
      <c r="F396" s="25"/>
      <c r="G396" s="25"/>
    </row>
    <row r="397" spans="1:33" s="3" customFormat="1" ht="11.25" customHeight="1" x14ac:dyDescent="0.15">
      <c r="A397" s="59" t="s">
        <v>1</v>
      </c>
      <c r="B397" s="58">
        <v>5300</v>
      </c>
      <c r="C397" s="58"/>
      <c r="D397" s="58"/>
      <c r="E397" s="58">
        <f t="shared" ref="E397:E402" si="78">+B397+C397+D397</f>
        <v>5300</v>
      </c>
      <c r="F397" s="4"/>
      <c r="G397" s="4"/>
      <c r="I397" s="4"/>
      <c r="K397" s="4"/>
      <c r="M397" s="4"/>
      <c r="O397" s="4"/>
      <c r="Q397" s="4"/>
      <c r="S397" s="4"/>
      <c r="U397" s="4"/>
      <c r="W397" s="4"/>
      <c r="Y397" s="4"/>
      <c r="AA397" s="4"/>
      <c r="AC397" s="4"/>
      <c r="AE397" s="4"/>
      <c r="AG397" s="4"/>
    </row>
    <row r="398" spans="1:33" x14ac:dyDescent="0.25">
      <c r="A398" s="59" t="s">
        <v>39</v>
      </c>
      <c r="B398" s="58">
        <v>10000</v>
      </c>
      <c r="C398" s="58"/>
      <c r="D398" s="58"/>
      <c r="E398" s="58">
        <f t="shared" si="78"/>
        <v>10000</v>
      </c>
    </row>
    <row r="399" spans="1:33" x14ac:dyDescent="0.25">
      <c r="A399" s="59" t="s">
        <v>18</v>
      </c>
      <c r="B399" s="58">
        <v>1000</v>
      </c>
      <c r="C399" s="58"/>
      <c r="D399" s="58"/>
      <c r="E399" s="58">
        <f t="shared" si="78"/>
        <v>1000</v>
      </c>
    </row>
    <row r="400" spans="1:33" x14ac:dyDescent="0.25">
      <c r="A400" s="59" t="s">
        <v>19</v>
      </c>
      <c r="B400" s="58">
        <v>600</v>
      </c>
      <c r="C400" s="58"/>
      <c r="D400" s="58"/>
      <c r="E400" s="58">
        <f t="shared" si="78"/>
        <v>600</v>
      </c>
    </row>
    <row r="401" spans="1:7" x14ac:dyDescent="0.25">
      <c r="A401" s="59" t="s">
        <v>10</v>
      </c>
      <c r="B401" s="58">
        <v>25000</v>
      </c>
      <c r="C401" s="58"/>
      <c r="D401" s="58"/>
      <c r="E401" s="58">
        <f t="shared" si="78"/>
        <v>25000</v>
      </c>
    </row>
    <row r="402" spans="1:7" x14ac:dyDescent="0.25">
      <c r="A402" s="59" t="s">
        <v>11</v>
      </c>
      <c r="B402" s="58">
        <v>3800</v>
      </c>
      <c r="C402" s="58"/>
      <c r="D402" s="58"/>
      <c r="E402" s="58">
        <f t="shared" si="78"/>
        <v>3800</v>
      </c>
      <c r="F402" s="36">
        <f>SUM(E397:E402)</f>
        <v>45700</v>
      </c>
    </row>
    <row r="403" spans="1:7" x14ac:dyDescent="0.25">
      <c r="A403" s="9"/>
      <c r="B403" s="40"/>
      <c r="C403" s="40"/>
      <c r="D403" s="40"/>
      <c r="E403" s="51"/>
      <c r="F403" s="29" t="s">
        <v>75</v>
      </c>
    </row>
    <row r="404" spans="1:7" ht="18.75" x14ac:dyDescent="0.4">
      <c r="A404" s="32" t="s">
        <v>111</v>
      </c>
      <c r="B404" s="40"/>
      <c r="C404" s="40"/>
      <c r="D404" s="40"/>
      <c r="E404" s="51"/>
      <c r="F404" s="29"/>
    </row>
    <row r="405" spans="1:7" x14ac:dyDescent="0.25">
      <c r="A405" s="59"/>
      <c r="B405" s="58"/>
      <c r="C405" s="58"/>
      <c r="D405" s="58"/>
      <c r="E405" s="58">
        <f t="shared" ref="E405:E406" si="79">+B405+C405+D405</f>
        <v>0</v>
      </c>
      <c r="F405" s="29"/>
    </row>
    <row r="406" spans="1:7" x14ac:dyDescent="0.25">
      <c r="A406" s="59"/>
      <c r="B406" s="58"/>
      <c r="C406" s="58"/>
      <c r="D406" s="58"/>
      <c r="E406" s="58">
        <f t="shared" si="79"/>
        <v>0</v>
      </c>
      <c r="F406" s="29"/>
    </row>
    <row r="407" spans="1:7" ht="18.75" x14ac:dyDescent="0.4">
      <c r="A407" s="32" t="s">
        <v>112</v>
      </c>
      <c r="B407" s="40"/>
      <c r="C407" s="40"/>
      <c r="D407" s="40"/>
      <c r="E407" s="51"/>
      <c r="F407" s="29"/>
    </row>
    <row r="408" spans="1:7" x14ac:dyDescent="0.25">
      <c r="A408" s="60" t="s">
        <v>124</v>
      </c>
      <c r="B408" s="58">
        <v>0</v>
      </c>
      <c r="C408" s="58"/>
      <c r="D408" s="58"/>
      <c r="E408" s="58">
        <f t="shared" ref="E408:E409" si="80">+B408+C408+D408</f>
        <v>0</v>
      </c>
      <c r="F408" s="29"/>
    </row>
    <row r="409" spans="1:7" x14ac:dyDescent="0.25">
      <c r="A409" s="60" t="s">
        <v>75</v>
      </c>
      <c r="B409" s="61">
        <v>0</v>
      </c>
      <c r="C409" s="58"/>
      <c r="D409" s="58"/>
      <c r="E409" s="58">
        <f t="shared" si="80"/>
        <v>0</v>
      </c>
      <c r="F409" s="29"/>
    </row>
    <row r="410" spans="1:7" ht="18.75" x14ac:dyDescent="0.4">
      <c r="A410" s="34" t="s">
        <v>113</v>
      </c>
      <c r="B410" s="40"/>
      <c r="C410" s="40"/>
      <c r="D410" s="40"/>
      <c r="E410" s="51"/>
      <c r="F410" s="29"/>
    </row>
    <row r="411" spans="1:7" x14ac:dyDescent="0.25">
      <c r="A411" s="59"/>
      <c r="B411" s="58"/>
      <c r="C411" s="58"/>
      <c r="D411" s="58"/>
      <c r="E411" s="58">
        <f t="shared" ref="E411" si="81">+B411+C411+D411</f>
        <v>0</v>
      </c>
      <c r="F411" s="29"/>
    </row>
    <row r="412" spans="1:7" x14ac:dyDescent="0.25">
      <c r="A412" s="9"/>
      <c r="B412" s="40"/>
      <c r="C412" s="40"/>
      <c r="D412" s="40"/>
      <c r="E412" s="51"/>
      <c r="F412" s="29"/>
    </row>
    <row r="413" spans="1:7" x14ac:dyDescent="0.25">
      <c r="A413" s="9"/>
      <c r="B413" s="40"/>
      <c r="C413" s="40"/>
      <c r="D413" s="40"/>
      <c r="E413" s="51"/>
      <c r="F413" s="29"/>
    </row>
    <row r="414" spans="1:7" x14ac:dyDescent="0.25">
      <c r="A414" s="9"/>
      <c r="B414" s="40"/>
      <c r="C414" s="40"/>
      <c r="D414" s="40"/>
      <c r="E414" s="51"/>
      <c r="F414" s="29"/>
    </row>
    <row r="415" spans="1:7" ht="18.75" x14ac:dyDescent="0.4">
      <c r="A415" s="169" t="s">
        <v>47</v>
      </c>
      <c r="B415" s="169"/>
      <c r="C415" s="169"/>
      <c r="D415" s="169"/>
      <c r="E415" s="169"/>
      <c r="F415" s="80"/>
      <c r="G415" s="80"/>
    </row>
    <row r="416" spans="1:7" x14ac:dyDescent="0.25">
      <c r="A416" s="23"/>
    </row>
    <row r="417" spans="1:34" ht="30" x14ac:dyDescent="0.25">
      <c r="A417" s="33" t="s">
        <v>105</v>
      </c>
      <c r="B417" s="38" t="s">
        <v>106</v>
      </c>
      <c r="C417" s="38" t="s">
        <v>107</v>
      </c>
      <c r="D417" s="38" t="s">
        <v>108</v>
      </c>
      <c r="E417" s="38" t="s">
        <v>109</v>
      </c>
    </row>
    <row r="418" spans="1:34" ht="18.75" x14ac:dyDescent="0.4">
      <c r="A418" s="32" t="s">
        <v>110</v>
      </c>
      <c r="B418" s="37">
        <f>SUM(B419:B435)</f>
        <v>56200</v>
      </c>
      <c r="C418" s="37">
        <f t="shared" ref="C418:E418" si="82">SUM(C419:C435)</f>
        <v>0</v>
      </c>
      <c r="D418" s="37">
        <f t="shared" si="82"/>
        <v>0</v>
      </c>
      <c r="E418" s="37">
        <f t="shared" si="82"/>
        <v>56200</v>
      </c>
    </row>
    <row r="419" spans="1:34" s="3" customFormat="1" ht="11.25" customHeight="1" x14ac:dyDescent="0.15">
      <c r="A419" s="59" t="s">
        <v>1</v>
      </c>
      <c r="B419" s="58">
        <v>5300</v>
      </c>
      <c r="C419" s="58"/>
      <c r="D419" s="58"/>
      <c r="E419" s="58">
        <f t="shared" ref="E419:E426" si="83">+B419+C419+D419</f>
        <v>5300</v>
      </c>
      <c r="F419" s="4"/>
      <c r="G419" s="4"/>
      <c r="I419" s="4"/>
      <c r="K419" s="4"/>
      <c r="M419" s="4"/>
      <c r="O419" s="4"/>
      <c r="Q419" s="4"/>
      <c r="S419" s="4"/>
      <c r="U419" s="4"/>
      <c r="W419" s="4"/>
      <c r="Y419" s="4"/>
      <c r="AA419" s="4"/>
      <c r="AC419" s="4"/>
      <c r="AE419" s="4"/>
      <c r="AG419" s="4"/>
    </row>
    <row r="420" spans="1:34" s="3" customFormat="1" ht="11.25" customHeight="1" x14ac:dyDescent="0.15">
      <c r="A420" s="59" t="s">
        <v>2</v>
      </c>
      <c r="B420" s="77">
        <v>3000</v>
      </c>
      <c r="C420" s="52"/>
      <c r="D420" s="58"/>
      <c r="E420" s="58">
        <f t="shared" si="83"/>
        <v>3000</v>
      </c>
      <c r="F420" s="8"/>
      <c r="G420" s="8"/>
      <c r="H420" s="9"/>
      <c r="I420" s="8"/>
      <c r="J420" s="7"/>
      <c r="K420" s="8"/>
      <c r="L420" s="7"/>
      <c r="M420" s="8"/>
      <c r="N420" s="7"/>
      <c r="O420" s="8"/>
      <c r="P420" s="7"/>
      <c r="Q420" s="8"/>
      <c r="R420" s="7"/>
      <c r="S420" s="8"/>
      <c r="T420" s="7"/>
      <c r="U420" s="8"/>
      <c r="V420" s="7"/>
      <c r="W420" s="8"/>
      <c r="X420" s="7"/>
      <c r="Y420" s="8"/>
      <c r="Z420" s="7"/>
      <c r="AA420" s="8"/>
      <c r="AB420" s="7"/>
      <c r="AC420" s="8"/>
      <c r="AD420" s="7"/>
      <c r="AE420" s="8"/>
      <c r="AF420" s="7"/>
      <c r="AG420" s="8"/>
      <c r="AH420" s="7"/>
    </row>
    <row r="421" spans="1:34" x14ac:dyDescent="0.25">
      <c r="A421" s="59" t="s">
        <v>39</v>
      </c>
      <c r="B421" s="58">
        <v>10000</v>
      </c>
      <c r="C421" s="58"/>
      <c r="D421" s="58"/>
      <c r="E421" s="58">
        <f t="shared" si="83"/>
        <v>10000</v>
      </c>
    </row>
    <row r="422" spans="1:34" x14ac:dyDescent="0.25">
      <c r="A422" s="59" t="s">
        <v>18</v>
      </c>
      <c r="B422" s="58">
        <v>1000</v>
      </c>
      <c r="C422" s="58"/>
      <c r="D422" s="58"/>
      <c r="E422" s="58">
        <f t="shared" si="83"/>
        <v>1000</v>
      </c>
    </row>
    <row r="423" spans="1:34" x14ac:dyDescent="0.25">
      <c r="A423" s="59" t="s">
        <v>19</v>
      </c>
      <c r="B423" s="58">
        <v>600</v>
      </c>
      <c r="C423" s="58"/>
      <c r="D423" s="58"/>
      <c r="E423" s="58">
        <f t="shared" si="83"/>
        <v>600</v>
      </c>
    </row>
    <row r="424" spans="1:34" x14ac:dyDescent="0.25">
      <c r="A424" s="59" t="s">
        <v>10</v>
      </c>
      <c r="B424" s="58">
        <v>15000</v>
      </c>
      <c r="C424" s="58"/>
      <c r="D424" s="58"/>
      <c r="E424" s="58">
        <f t="shared" si="83"/>
        <v>15000</v>
      </c>
    </row>
    <row r="425" spans="1:34" x14ac:dyDescent="0.25">
      <c r="A425" s="59" t="s">
        <v>11</v>
      </c>
      <c r="B425" s="58">
        <v>3800</v>
      </c>
      <c r="C425" s="58"/>
      <c r="D425" s="58"/>
      <c r="E425" s="58">
        <f t="shared" si="83"/>
        <v>3800</v>
      </c>
    </row>
    <row r="426" spans="1:34" x14ac:dyDescent="0.25">
      <c r="A426" s="59" t="s">
        <v>40</v>
      </c>
      <c r="B426" s="58">
        <v>17500</v>
      </c>
      <c r="C426" s="58"/>
      <c r="D426" s="58"/>
      <c r="E426" s="58">
        <f t="shared" si="83"/>
        <v>17500</v>
      </c>
      <c r="F426" s="36">
        <f>SUM(E419:E426)</f>
        <v>56200</v>
      </c>
    </row>
    <row r="427" spans="1:34" x14ac:dyDescent="0.25">
      <c r="A427" s="9"/>
      <c r="B427" s="40"/>
      <c r="C427" s="40"/>
      <c r="D427" s="40"/>
      <c r="E427" s="51"/>
      <c r="F427" s="29" t="s">
        <v>75</v>
      </c>
    </row>
    <row r="428" spans="1:34" ht="18.75" x14ac:dyDescent="0.4">
      <c r="A428" s="32" t="s">
        <v>111</v>
      </c>
      <c r="B428" s="40"/>
      <c r="C428" s="40"/>
      <c r="D428" s="40"/>
      <c r="E428" s="51"/>
      <c r="F428" s="29"/>
    </row>
    <row r="429" spans="1:34" x14ac:dyDescent="0.25">
      <c r="A429" s="59"/>
      <c r="B429" s="58"/>
      <c r="C429" s="58"/>
      <c r="D429" s="58"/>
      <c r="E429" s="58">
        <f t="shared" ref="E429:E430" si="84">+B429+C429+D429</f>
        <v>0</v>
      </c>
      <c r="F429" s="29"/>
    </row>
    <row r="430" spans="1:34" x14ac:dyDescent="0.25">
      <c r="A430" s="59"/>
      <c r="B430" s="58"/>
      <c r="C430" s="58"/>
      <c r="D430" s="58"/>
      <c r="E430" s="58">
        <f t="shared" si="84"/>
        <v>0</v>
      </c>
      <c r="F430" s="29"/>
    </row>
    <row r="431" spans="1:34" ht="18.75" x14ac:dyDescent="0.4">
      <c r="A431" s="32" t="s">
        <v>112</v>
      </c>
      <c r="B431" s="40"/>
      <c r="C431" s="40"/>
      <c r="D431" s="40"/>
      <c r="E431" s="51"/>
      <c r="F431" s="29"/>
    </row>
    <row r="432" spans="1:34" x14ac:dyDescent="0.25">
      <c r="A432" s="60" t="s">
        <v>124</v>
      </c>
      <c r="B432" s="58">
        <v>0</v>
      </c>
      <c r="C432" s="58"/>
      <c r="D432" s="58"/>
      <c r="E432" s="58">
        <f t="shared" ref="E432:E433" si="85">+B432+C432+D432</f>
        <v>0</v>
      </c>
      <c r="F432" s="29"/>
    </row>
    <row r="433" spans="1:34" x14ac:dyDescent="0.25">
      <c r="A433" s="60" t="s">
        <v>75</v>
      </c>
      <c r="B433" s="61">
        <v>0</v>
      </c>
      <c r="C433" s="58"/>
      <c r="D433" s="58"/>
      <c r="E433" s="58">
        <f t="shared" si="85"/>
        <v>0</v>
      </c>
      <c r="F433" s="29"/>
    </row>
    <row r="434" spans="1:34" ht="18.75" x14ac:dyDescent="0.4">
      <c r="A434" s="34" t="s">
        <v>113</v>
      </c>
      <c r="B434" s="40"/>
      <c r="C434" s="40"/>
      <c r="D434" s="40"/>
      <c r="E434" s="51"/>
      <c r="F434" s="29"/>
    </row>
    <row r="435" spans="1:34" x14ac:dyDescent="0.25">
      <c r="A435" s="59"/>
      <c r="B435" s="58"/>
      <c r="C435" s="58"/>
      <c r="D435" s="58"/>
      <c r="E435" s="58">
        <f t="shared" ref="E435" si="86">+B435+C435+D435</f>
        <v>0</v>
      </c>
      <c r="F435" s="29"/>
    </row>
    <row r="436" spans="1:34" x14ac:dyDescent="0.25">
      <c r="A436" s="9"/>
      <c r="B436" s="40"/>
      <c r="C436" s="40"/>
      <c r="D436" s="40"/>
      <c r="E436" s="51"/>
      <c r="F436" s="29"/>
    </row>
    <row r="437" spans="1:34" x14ac:dyDescent="0.25">
      <c r="A437" s="9"/>
      <c r="B437" s="40"/>
      <c r="C437" s="40"/>
      <c r="D437" s="40"/>
      <c r="E437" s="51"/>
      <c r="F437" s="29"/>
    </row>
    <row r="438" spans="1:34" ht="18.75" x14ac:dyDescent="0.4">
      <c r="A438" s="169" t="s">
        <v>48</v>
      </c>
      <c r="B438" s="169"/>
      <c r="C438" s="169"/>
      <c r="D438" s="169"/>
      <c r="E438" s="169"/>
      <c r="F438" s="80"/>
      <c r="G438" s="80"/>
    </row>
    <row r="439" spans="1:34" x14ac:dyDescent="0.25">
      <c r="A439" s="23"/>
    </row>
    <row r="440" spans="1:34" ht="30" x14ac:dyDescent="0.25">
      <c r="A440" s="33" t="s">
        <v>105</v>
      </c>
      <c r="B440" s="38" t="s">
        <v>106</v>
      </c>
      <c r="C440" s="38" t="s">
        <v>107</v>
      </c>
      <c r="D440" s="38" t="s">
        <v>108</v>
      </c>
      <c r="E440" s="38" t="s">
        <v>109</v>
      </c>
    </row>
    <row r="441" spans="1:34" ht="18.75" x14ac:dyDescent="0.4">
      <c r="A441" s="32" t="s">
        <v>110</v>
      </c>
      <c r="B441" s="37">
        <f>SUM(B442:B459)</f>
        <v>37968</v>
      </c>
      <c r="C441" s="37">
        <f t="shared" ref="C441:E441" si="87">SUM(C442:C459)</f>
        <v>0</v>
      </c>
      <c r="D441" s="37">
        <f t="shared" si="87"/>
        <v>0</v>
      </c>
      <c r="E441" s="37">
        <f t="shared" si="87"/>
        <v>37968</v>
      </c>
    </row>
    <row r="442" spans="1:34" s="3" customFormat="1" ht="11.25" customHeight="1" x14ac:dyDescent="0.15">
      <c r="A442" s="59" t="s">
        <v>1</v>
      </c>
      <c r="B442" s="58">
        <v>2300</v>
      </c>
      <c r="C442" s="58"/>
      <c r="D442" s="58"/>
      <c r="E442" s="58">
        <f t="shared" ref="E442:E450" si="88">+B442+C442+D442</f>
        <v>2300</v>
      </c>
      <c r="F442" s="4"/>
      <c r="G442" s="4"/>
      <c r="I442" s="4"/>
      <c r="K442" s="4"/>
      <c r="M442" s="4"/>
      <c r="O442" s="4"/>
      <c r="Q442" s="4"/>
      <c r="S442" s="4"/>
      <c r="U442" s="4"/>
      <c r="W442" s="4"/>
      <c r="Y442" s="4"/>
      <c r="AA442" s="4"/>
      <c r="AC442" s="4"/>
      <c r="AE442" s="4"/>
      <c r="AG442" s="4"/>
    </row>
    <row r="443" spans="1:34" s="3" customFormat="1" ht="11.25" customHeight="1" x14ac:dyDescent="0.15">
      <c r="A443" s="59" t="s">
        <v>2</v>
      </c>
      <c r="B443" s="77">
        <v>6000</v>
      </c>
      <c r="C443" s="52"/>
      <c r="D443" s="58"/>
      <c r="E443" s="58">
        <f t="shared" si="88"/>
        <v>6000</v>
      </c>
      <c r="F443" s="8"/>
      <c r="G443" s="8"/>
      <c r="H443" s="9"/>
      <c r="I443" s="8"/>
      <c r="J443" s="7"/>
      <c r="K443" s="8"/>
      <c r="L443" s="7"/>
      <c r="M443" s="8"/>
      <c r="N443" s="7"/>
      <c r="O443" s="8"/>
      <c r="P443" s="7"/>
      <c r="Q443" s="8"/>
      <c r="R443" s="7"/>
      <c r="S443" s="8"/>
      <c r="T443" s="7"/>
      <c r="U443" s="8"/>
      <c r="V443" s="7"/>
      <c r="W443" s="8"/>
      <c r="X443" s="7"/>
      <c r="Y443" s="8"/>
      <c r="Z443" s="7"/>
      <c r="AA443" s="8"/>
      <c r="AB443" s="7"/>
      <c r="AC443" s="8"/>
      <c r="AD443" s="7"/>
      <c r="AE443" s="8"/>
      <c r="AF443" s="7"/>
      <c r="AG443" s="8"/>
      <c r="AH443" s="7"/>
    </row>
    <row r="444" spans="1:34" s="3" customFormat="1" ht="11.25" customHeight="1" x14ac:dyDescent="0.15">
      <c r="A444" s="59" t="s">
        <v>3</v>
      </c>
      <c r="B444" s="77">
        <v>4000</v>
      </c>
      <c r="C444" s="52"/>
      <c r="D444" s="58"/>
      <c r="E444" s="58">
        <f t="shared" si="88"/>
        <v>4000</v>
      </c>
      <c r="F444" s="8"/>
      <c r="G444" s="8"/>
      <c r="H444" s="9"/>
      <c r="I444" s="8"/>
      <c r="J444" s="7"/>
      <c r="K444" s="8"/>
      <c r="L444" s="7"/>
      <c r="M444" s="8"/>
      <c r="N444" s="7"/>
      <c r="O444" s="8"/>
      <c r="P444" s="7"/>
      <c r="Q444" s="8"/>
      <c r="R444" s="7"/>
      <c r="S444" s="8"/>
      <c r="T444" s="7"/>
      <c r="U444" s="8"/>
      <c r="V444" s="7"/>
      <c r="W444" s="8"/>
      <c r="X444" s="7"/>
      <c r="Y444" s="8"/>
      <c r="Z444" s="7"/>
      <c r="AA444" s="8"/>
      <c r="AB444" s="7"/>
      <c r="AC444" s="8"/>
      <c r="AD444" s="7"/>
      <c r="AE444" s="8"/>
      <c r="AF444" s="7"/>
      <c r="AG444" s="8"/>
      <c r="AH444" s="7"/>
    </row>
    <row r="445" spans="1:34" x14ac:dyDescent="0.25">
      <c r="A445" s="59" t="s">
        <v>39</v>
      </c>
      <c r="B445" s="58">
        <v>10000</v>
      </c>
      <c r="C445" s="58"/>
      <c r="D445" s="58"/>
      <c r="E445" s="58">
        <f t="shared" si="88"/>
        <v>10000</v>
      </c>
    </row>
    <row r="446" spans="1:34" x14ac:dyDescent="0.25">
      <c r="A446" s="59" t="s">
        <v>18</v>
      </c>
      <c r="B446" s="58">
        <v>2500</v>
      </c>
      <c r="C446" s="58"/>
      <c r="D446" s="58"/>
      <c r="E446" s="58">
        <f t="shared" si="88"/>
        <v>2500</v>
      </c>
    </row>
    <row r="447" spans="1:34" x14ac:dyDescent="0.25">
      <c r="A447" s="59" t="s">
        <v>19</v>
      </c>
      <c r="B447" s="58">
        <v>2000</v>
      </c>
      <c r="C447" s="58"/>
      <c r="D447" s="58"/>
      <c r="E447" s="58">
        <f t="shared" si="88"/>
        <v>2000</v>
      </c>
    </row>
    <row r="448" spans="1:34" x14ac:dyDescent="0.25">
      <c r="A448" s="59" t="s">
        <v>8</v>
      </c>
      <c r="B448" s="58">
        <v>1668</v>
      </c>
      <c r="C448" s="58"/>
      <c r="D448" s="58"/>
      <c r="E448" s="58">
        <f t="shared" si="88"/>
        <v>1668</v>
      </c>
    </row>
    <row r="449" spans="1:7" x14ac:dyDescent="0.25">
      <c r="A449" s="59" t="s">
        <v>11</v>
      </c>
      <c r="B449" s="58">
        <v>7500</v>
      </c>
      <c r="C449" s="58"/>
      <c r="D449" s="58"/>
      <c r="E449" s="58">
        <f t="shared" si="88"/>
        <v>7500</v>
      </c>
    </row>
    <row r="450" spans="1:7" x14ac:dyDescent="0.25">
      <c r="A450" s="59" t="s">
        <v>172</v>
      </c>
      <c r="B450" s="58">
        <v>2000</v>
      </c>
      <c r="C450" s="58"/>
      <c r="D450" s="58"/>
      <c r="E450" s="58">
        <f t="shared" si="88"/>
        <v>2000</v>
      </c>
      <c r="F450" s="36">
        <f>SUM(E441:E450)</f>
        <v>75936</v>
      </c>
    </row>
    <row r="451" spans="1:7" x14ac:dyDescent="0.25">
      <c r="A451" s="9"/>
      <c r="B451" s="40"/>
      <c r="C451" s="40"/>
      <c r="D451" s="40"/>
      <c r="E451" s="51"/>
      <c r="F451" s="29" t="s">
        <v>75</v>
      </c>
    </row>
    <row r="452" spans="1:7" ht="18.75" x14ac:dyDescent="0.4">
      <c r="A452" s="32" t="s">
        <v>111</v>
      </c>
      <c r="B452" s="40"/>
      <c r="C452" s="40"/>
      <c r="D452" s="40"/>
      <c r="E452" s="51"/>
      <c r="F452" s="29"/>
    </row>
    <row r="453" spans="1:7" x14ac:dyDescent="0.25">
      <c r="A453" s="59"/>
      <c r="B453" s="58"/>
      <c r="C453" s="58"/>
      <c r="D453" s="58"/>
      <c r="E453" s="58">
        <f t="shared" ref="E453:E454" si="89">+B453+C453+D453</f>
        <v>0</v>
      </c>
      <c r="F453" s="29"/>
    </row>
    <row r="454" spans="1:7" x14ac:dyDescent="0.25">
      <c r="A454" s="59"/>
      <c r="B454" s="58"/>
      <c r="C454" s="58"/>
      <c r="D454" s="58"/>
      <c r="E454" s="58">
        <f t="shared" si="89"/>
        <v>0</v>
      </c>
      <c r="F454" s="29"/>
    </row>
    <row r="455" spans="1:7" ht="18.75" x14ac:dyDescent="0.4">
      <c r="A455" s="32" t="s">
        <v>112</v>
      </c>
      <c r="B455" s="40"/>
      <c r="C455" s="40"/>
      <c r="D455" s="40"/>
      <c r="E455" s="51"/>
      <c r="F455" s="29"/>
    </row>
    <row r="456" spans="1:7" x14ac:dyDescent="0.25">
      <c r="A456" s="60" t="s">
        <v>124</v>
      </c>
      <c r="B456" s="58">
        <v>0</v>
      </c>
      <c r="C456" s="58"/>
      <c r="D456" s="58"/>
      <c r="E456" s="58">
        <f t="shared" ref="E456:E457" si="90">+B456+C456+D456</f>
        <v>0</v>
      </c>
      <c r="F456" s="29"/>
    </row>
    <row r="457" spans="1:7" x14ac:dyDescent="0.25">
      <c r="A457" s="60" t="s">
        <v>75</v>
      </c>
      <c r="B457" s="61">
        <v>0</v>
      </c>
      <c r="C457" s="58"/>
      <c r="D457" s="58"/>
      <c r="E457" s="58">
        <f t="shared" si="90"/>
        <v>0</v>
      </c>
      <c r="F457" s="29"/>
    </row>
    <row r="458" spans="1:7" ht="18.75" x14ac:dyDescent="0.4">
      <c r="A458" s="34" t="s">
        <v>113</v>
      </c>
      <c r="B458" s="40"/>
      <c r="C458" s="40"/>
      <c r="D458" s="40"/>
      <c r="E458" s="51"/>
      <c r="F458" s="29"/>
    </row>
    <row r="459" spans="1:7" x14ac:dyDescent="0.25">
      <c r="A459" s="59"/>
      <c r="B459" s="58"/>
      <c r="C459" s="58"/>
      <c r="D459" s="58"/>
      <c r="E459" s="58">
        <f t="shared" ref="E459" si="91">+B459+C459+D459</f>
        <v>0</v>
      </c>
      <c r="F459" s="29"/>
    </row>
    <row r="460" spans="1:7" x14ac:dyDescent="0.25">
      <c r="A460" s="9"/>
      <c r="B460" s="40"/>
      <c r="C460" s="40"/>
      <c r="D460" s="40"/>
      <c r="E460" s="51"/>
      <c r="F460" s="29"/>
    </row>
    <row r="461" spans="1:7" x14ac:dyDescent="0.25">
      <c r="A461" s="9"/>
      <c r="B461" s="40"/>
      <c r="C461" s="40"/>
      <c r="D461" s="40"/>
      <c r="E461" s="51"/>
      <c r="F461" s="29"/>
    </row>
    <row r="462" spans="1:7" ht="15.75" x14ac:dyDescent="0.3">
      <c r="A462" s="170" t="s">
        <v>49</v>
      </c>
      <c r="B462" s="170"/>
      <c r="C462" s="170"/>
      <c r="D462" s="170"/>
      <c r="E462" s="170"/>
      <c r="F462" s="75"/>
      <c r="G462" s="75"/>
    </row>
    <row r="463" spans="1:7" x14ac:dyDescent="0.25">
      <c r="A463" s="23"/>
    </row>
    <row r="464" spans="1:7" ht="30" x14ac:dyDescent="0.25">
      <c r="A464" s="33" t="s">
        <v>105</v>
      </c>
      <c r="B464" s="38" t="s">
        <v>106</v>
      </c>
      <c r="C464" s="38" t="s">
        <v>107</v>
      </c>
      <c r="D464" s="38" t="s">
        <v>108</v>
      </c>
      <c r="E464" s="38" t="s">
        <v>109</v>
      </c>
    </row>
    <row r="465" spans="1:34" ht="18.75" x14ac:dyDescent="0.4">
      <c r="A465" s="32" t="s">
        <v>110</v>
      </c>
      <c r="B465" s="37">
        <f>SUM(B466:B481)</f>
        <v>48700</v>
      </c>
      <c r="C465" s="37">
        <f t="shared" ref="C465:E465" si="92">SUM(C466:C481)</f>
        <v>0</v>
      </c>
      <c r="D465" s="37">
        <f t="shared" si="92"/>
        <v>0</v>
      </c>
      <c r="E465" s="37">
        <f t="shared" si="92"/>
        <v>48700</v>
      </c>
    </row>
    <row r="466" spans="1:34" s="3" customFormat="1" ht="11.25" customHeight="1" x14ac:dyDescent="0.15">
      <c r="A466" s="59" t="s">
        <v>1</v>
      </c>
      <c r="B466" s="58">
        <v>5300</v>
      </c>
      <c r="C466" s="58"/>
      <c r="D466" s="58"/>
      <c r="E466" s="58">
        <f t="shared" ref="E466:E472" si="93">+B466+C466+D466</f>
        <v>5300</v>
      </c>
      <c r="F466" s="4"/>
      <c r="G466" s="4"/>
      <c r="I466" s="4"/>
      <c r="K466" s="4"/>
      <c r="M466" s="4"/>
      <c r="O466" s="4"/>
      <c r="Q466" s="4"/>
      <c r="S466" s="4"/>
      <c r="U466" s="4"/>
      <c r="W466" s="4"/>
      <c r="Y466" s="4"/>
      <c r="AA466" s="4"/>
      <c r="AC466" s="4"/>
      <c r="AE466" s="4"/>
      <c r="AG466" s="4"/>
    </row>
    <row r="467" spans="1:34" s="3" customFormat="1" ht="11.25" customHeight="1" x14ac:dyDescent="0.15">
      <c r="A467" s="59" t="s">
        <v>2</v>
      </c>
      <c r="B467" s="77">
        <v>3000</v>
      </c>
      <c r="C467" s="52"/>
      <c r="D467" s="58"/>
      <c r="E467" s="58">
        <f t="shared" si="93"/>
        <v>3000</v>
      </c>
      <c r="F467" s="8"/>
      <c r="G467" s="8"/>
      <c r="H467" s="9"/>
      <c r="I467" s="8"/>
      <c r="J467" s="7"/>
      <c r="K467" s="8"/>
      <c r="L467" s="7"/>
      <c r="M467" s="8"/>
      <c r="N467" s="7"/>
      <c r="O467" s="8"/>
      <c r="P467" s="7"/>
      <c r="Q467" s="8"/>
      <c r="R467" s="7"/>
      <c r="S467" s="8"/>
      <c r="T467" s="7"/>
      <c r="U467" s="8"/>
      <c r="V467" s="7"/>
      <c r="W467" s="8"/>
      <c r="X467" s="7"/>
      <c r="Y467" s="8"/>
      <c r="Z467" s="7"/>
      <c r="AA467" s="8"/>
      <c r="AB467" s="7"/>
      <c r="AC467" s="8"/>
      <c r="AD467" s="7"/>
      <c r="AE467" s="8"/>
      <c r="AF467" s="7"/>
      <c r="AG467" s="8"/>
      <c r="AH467" s="7"/>
    </row>
    <row r="468" spans="1:34" x14ac:dyDescent="0.25">
      <c r="A468" s="59" t="s">
        <v>39</v>
      </c>
      <c r="B468" s="58">
        <v>10000</v>
      </c>
      <c r="C468" s="58"/>
      <c r="D468" s="58"/>
      <c r="E468" s="58">
        <f t="shared" si="93"/>
        <v>10000</v>
      </c>
    </row>
    <row r="469" spans="1:34" x14ac:dyDescent="0.25">
      <c r="A469" s="59" t="s">
        <v>18</v>
      </c>
      <c r="B469" s="58">
        <v>1000</v>
      </c>
      <c r="C469" s="58"/>
      <c r="D469" s="58"/>
      <c r="E469" s="58">
        <f t="shared" si="93"/>
        <v>1000</v>
      </c>
    </row>
    <row r="470" spans="1:34" x14ac:dyDescent="0.25">
      <c r="A470" s="59" t="s">
        <v>19</v>
      </c>
      <c r="B470" s="58">
        <v>600</v>
      </c>
      <c r="C470" s="58"/>
      <c r="D470" s="58"/>
      <c r="E470" s="58">
        <f t="shared" si="93"/>
        <v>600</v>
      </c>
    </row>
    <row r="471" spans="1:34" x14ac:dyDescent="0.25">
      <c r="A471" s="59" t="s">
        <v>10</v>
      </c>
      <c r="B471" s="58">
        <v>25000</v>
      </c>
      <c r="C471" s="58"/>
      <c r="D471" s="58"/>
      <c r="E471" s="58">
        <f t="shared" si="93"/>
        <v>25000</v>
      </c>
    </row>
    <row r="472" spans="1:34" x14ac:dyDescent="0.25">
      <c r="A472" s="59" t="s">
        <v>11</v>
      </c>
      <c r="B472" s="58">
        <v>3800</v>
      </c>
      <c r="C472" s="58"/>
      <c r="D472" s="58"/>
      <c r="E472" s="58">
        <f t="shared" si="93"/>
        <v>3800</v>
      </c>
      <c r="F472" s="36">
        <f>SUM(E466:E472)</f>
        <v>48700</v>
      </c>
    </row>
    <row r="473" spans="1:34" x14ac:dyDescent="0.25">
      <c r="A473" s="9"/>
      <c r="B473" s="40"/>
      <c r="C473" s="40"/>
      <c r="D473" s="40"/>
      <c r="E473" s="51"/>
      <c r="F473" s="29" t="s">
        <v>75</v>
      </c>
    </row>
    <row r="474" spans="1:34" ht="18.75" x14ac:dyDescent="0.4">
      <c r="A474" s="32" t="s">
        <v>111</v>
      </c>
      <c r="B474" s="40"/>
      <c r="C474" s="40"/>
      <c r="D474" s="40"/>
      <c r="E474" s="51"/>
    </row>
    <row r="475" spans="1:34" x14ac:dyDescent="0.25">
      <c r="A475" s="59"/>
      <c r="B475" s="58"/>
      <c r="C475" s="58"/>
      <c r="D475" s="58"/>
      <c r="E475" s="58">
        <f t="shared" ref="E475:E476" si="94">+B475+C475+D475</f>
        <v>0</v>
      </c>
    </row>
    <row r="476" spans="1:34" x14ac:dyDescent="0.25">
      <c r="A476" s="59"/>
      <c r="B476" s="58"/>
      <c r="C476" s="58"/>
      <c r="D476" s="58"/>
      <c r="E476" s="58">
        <f t="shared" si="94"/>
        <v>0</v>
      </c>
    </row>
    <row r="477" spans="1:34" ht="18.75" x14ac:dyDescent="0.4">
      <c r="A477" s="32" t="s">
        <v>112</v>
      </c>
      <c r="B477" s="40"/>
      <c r="C477" s="40"/>
      <c r="D477" s="40"/>
      <c r="E477" s="51"/>
    </row>
    <row r="478" spans="1:34" x14ac:dyDescent="0.25">
      <c r="A478" s="60" t="s">
        <v>124</v>
      </c>
      <c r="B478" s="58">
        <v>0</v>
      </c>
      <c r="C478" s="58"/>
      <c r="D478" s="58"/>
      <c r="E478" s="58">
        <f t="shared" ref="E478:E479" si="95">+B478+C478+D478</f>
        <v>0</v>
      </c>
    </row>
    <row r="479" spans="1:34" x14ac:dyDescent="0.25">
      <c r="A479" s="60" t="s">
        <v>75</v>
      </c>
      <c r="B479" s="61">
        <v>0</v>
      </c>
      <c r="C479" s="58"/>
      <c r="D479" s="58"/>
      <c r="E479" s="58">
        <f t="shared" si="95"/>
        <v>0</v>
      </c>
    </row>
    <row r="480" spans="1:34" ht="18.75" x14ac:dyDescent="0.4">
      <c r="A480" s="34" t="s">
        <v>113</v>
      </c>
      <c r="B480" s="40"/>
      <c r="C480" s="40"/>
      <c r="D480" s="40"/>
      <c r="E480" s="51"/>
    </row>
    <row r="481" spans="1:34" x14ac:dyDescent="0.25">
      <c r="A481" s="59"/>
      <c r="B481" s="58"/>
      <c r="C481" s="58"/>
      <c r="D481" s="58"/>
      <c r="E481" s="58">
        <f t="shared" ref="E481" si="96">+B481+C481+D481</f>
        <v>0</v>
      </c>
    </row>
    <row r="482" spans="1:34" x14ac:dyDescent="0.25">
      <c r="A482" s="9"/>
      <c r="B482" s="40"/>
      <c r="C482" s="40"/>
      <c r="D482" s="40"/>
      <c r="E482" s="51"/>
    </row>
    <row r="483" spans="1:34" x14ac:dyDescent="0.25">
      <c r="A483" s="9"/>
      <c r="B483" s="40"/>
      <c r="C483" s="40"/>
      <c r="D483" s="40"/>
      <c r="E483" s="51"/>
    </row>
    <row r="484" spans="1:34" x14ac:dyDescent="0.25">
      <c r="A484" s="9"/>
      <c r="B484" s="40"/>
      <c r="C484" s="40"/>
      <c r="D484" s="40"/>
      <c r="E484" s="51"/>
    </row>
    <row r="485" spans="1:34" ht="15.75" x14ac:dyDescent="0.3">
      <c r="A485" s="170" t="s">
        <v>50</v>
      </c>
      <c r="B485" s="170"/>
      <c r="C485" s="170"/>
      <c r="D485" s="170"/>
      <c r="E485" s="170"/>
      <c r="F485" s="75"/>
      <c r="G485" s="75"/>
    </row>
    <row r="486" spans="1:34" x14ac:dyDescent="0.25">
      <c r="A486" s="23"/>
    </row>
    <row r="487" spans="1:34" ht="30" x14ac:dyDescent="0.25">
      <c r="A487" s="33" t="s">
        <v>105</v>
      </c>
      <c r="B487" s="38" t="s">
        <v>106</v>
      </c>
      <c r="C487" s="38" t="s">
        <v>107</v>
      </c>
      <c r="D487" s="38" t="s">
        <v>108</v>
      </c>
      <c r="E487" s="38" t="s">
        <v>109</v>
      </c>
    </row>
    <row r="488" spans="1:34" ht="18.75" x14ac:dyDescent="0.4">
      <c r="A488" s="32" t="s">
        <v>110</v>
      </c>
      <c r="B488" s="37">
        <f>SUM(B489:B504)</f>
        <v>13764</v>
      </c>
      <c r="C488" s="37">
        <f t="shared" ref="C488:E488" si="97">SUM(C489:C504)</f>
        <v>25000</v>
      </c>
      <c r="D488" s="37">
        <f t="shared" si="97"/>
        <v>0</v>
      </c>
      <c r="E488" s="37">
        <f t="shared" si="97"/>
        <v>38764</v>
      </c>
    </row>
    <row r="489" spans="1:34" s="3" customFormat="1" ht="11.25" customHeight="1" x14ac:dyDescent="0.15">
      <c r="A489" s="59" t="s">
        <v>1</v>
      </c>
      <c r="B489" s="58">
        <v>5300</v>
      </c>
      <c r="C489" s="58"/>
      <c r="D489" s="58"/>
      <c r="E489" s="58">
        <f t="shared" ref="E489:E495" si="98">+B489+C489+D489</f>
        <v>5300</v>
      </c>
      <c r="F489" s="4"/>
      <c r="G489" s="4"/>
      <c r="I489" s="4"/>
      <c r="K489" s="4"/>
      <c r="M489" s="4"/>
      <c r="O489" s="4"/>
      <c r="Q489" s="4"/>
      <c r="S489" s="4"/>
      <c r="U489" s="4"/>
      <c r="W489" s="4"/>
      <c r="Y489" s="4"/>
      <c r="AA489" s="4"/>
      <c r="AC489" s="4"/>
      <c r="AE489" s="4"/>
      <c r="AG489" s="4"/>
    </row>
    <row r="490" spans="1:34" s="3" customFormat="1" ht="11.25" customHeight="1" x14ac:dyDescent="0.15">
      <c r="A490" s="59" t="s">
        <v>3</v>
      </c>
      <c r="B490" s="77">
        <v>2000</v>
      </c>
      <c r="C490" s="52"/>
      <c r="D490" s="58"/>
      <c r="E490" s="58">
        <f t="shared" si="98"/>
        <v>2000</v>
      </c>
      <c r="F490" s="8"/>
      <c r="G490" s="8"/>
      <c r="H490" s="9"/>
      <c r="I490" s="8"/>
      <c r="J490" s="7"/>
      <c r="K490" s="8"/>
      <c r="L490" s="7"/>
      <c r="M490" s="8"/>
      <c r="N490" s="7"/>
      <c r="O490" s="8"/>
      <c r="P490" s="7"/>
      <c r="Q490" s="8"/>
      <c r="R490" s="7"/>
      <c r="S490" s="8"/>
      <c r="T490" s="7"/>
      <c r="U490" s="8"/>
      <c r="V490" s="7"/>
      <c r="W490" s="8"/>
      <c r="X490" s="7"/>
      <c r="Y490" s="8"/>
      <c r="Z490" s="7"/>
      <c r="AA490" s="8"/>
      <c r="AB490" s="7"/>
      <c r="AC490" s="8"/>
      <c r="AD490" s="7"/>
      <c r="AE490" s="8"/>
      <c r="AF490" s="7"/>
      <c r="AG490" s="8"/>
      <c r="AH490" s="7"/>
    </row>
    <row r="491" spans="1:34" x14ac:dyDescent="0.25">
      <c r="A491" s="59" t="s">
        <v>39</v>
      </c>
      <c r="B491" s="58">
        <v>0</v>
      </c>
      <c r="C491" s="58">
        <v>10000</v>
      </c>
      <c r="D491" s="58"/>
      <c r="E491" s="58">
        <f t="shared" si="98"/>
        <v>10000</v>
      </c>
    </row>
    <row r="492" spans="1:34" x14ac:dyDescent="0.25">
      <c r="A492" s="59" t="s">
        <v>18</v>
      </c>
      <c r="B492" s="58">
        <v>1000</v>
      </c>
      <c r="C492" s="58"/>
      <c r="D492" s="58"/>
      <c r="E492" s="58">
        <f t="shared" si="98"/>
        <v>1000</v>
      </c>
    </row>
    <row r="493" spans="1:34" x14ac:dyDescent="0.25">
      <c r="A493" s="59" t="s">
        <v>9</v>
      </c>
      <c r="B493" s="58">
        <v>1664</v>
      </c>
      <c r="C493" s="58"/>
      <c r="D493" s="58"/>
      <c r="E493" s="58">
        <f t="shared" si="98"/>
        <v>1664</v>
      </c>
    </row>
    <row r="494" spans="1:34" x14ac:dyDescent="0.25">
      <c r="A494" s="59" t="s">
        <v>10</v>
      </c>
      <c r="B494" s="58">
        <v>0</v>
      </c>
      <c r="C494" s="58">
        <v>15000</v>
      </c>
      <c r="D494" s="58"/>
      <c r="E494" s="58">
        <f t="shared" si="98"/>
        <v>15000</v>
      </c>
    </row>
    <row r="495" spans="1:34" x14ac:dyDescent="0.25">
      <c r="A495" s="59" t="s">
        <v>11</v>
      </c>
      <c r="B495" s="58">
        <v>3800</v>
      </c>
      <c r="C495" s="58"/>
      <c r="D495" s="58"/>
      <c r="E495" s="58">
        <f t="shared" si="98"/>
        <v>3800</v>
      </c>
      <c r="F495" s="36">
        <f>SUM(E489:E495)</f>
        <v>38764</v>
      </c>
    </row>
    <row r="496" spans="1:34" x14ac:dyDescent="0.25">
      <c r="F496" s="29" t="s">
        <v>75</v>
      </c>
    </row>
    <row r="497" spans="1:33" ht="18.75" x14ac:dyDescent="0.4">
      <c r="A497" s="32" t="s">
        <v>111</v>
      </c>
      <c r="B497" s="40"/>
      <c r="C497" s="40"/>
      <c r="D497" s="40"/>
      <c r="E497" s="51"/>
      <c r="F497" s="29"/>
    </row>
    <row r="498" spans="1:33" x14ac:dyDescent="0.25">
      <c r="A498" s="59"/>
      <c r="B498" s="58"/>
      <c r="C498" s="58"/>
      <c r="D498" s="58"/>
      <c r="E498" s="58">
        <f t="shared" ref="E498:E499" si="99">+B498+C498+D498</f>
        <v>0</v>
      </c>
      <c r="F498" s="29"/>
    </row>
    <row r="499" spans="1:33" x14ac:dyDescent="0.25">
      <c r="A499" s="59"/>
      <c r="B499" s="58"/>
      <c r="C499" s="58"/>
      <c r="D499" s="58"/>
      <c r="E499" s="58">
        <f t="shared" si="99"/>
        <v>0</v>
      </c>
      <c r="F499" s="29"/>
    </row>
    <row r="500" spans="1:33" ht="18.75" x14ac:dyDescent="0.4">
      <c r="A500" s="32" t="s">
        <v>112</v>
      </c>
      <c r="B500" s="40"/>
      <c r="C500" s="40"/>
      <c r="D500" s="40"/>
      <c r="E500" s="51"/>
      <c r="F500" s="29"/>
    </row>
    <row r="501" spans="1:33" x14ac:dyDescent="0.25">
      <c r="A501" s="60" t="s">
        <v>124</v>
      </c>
      <c r="B501" s="58">
        <v>0</v>
      </c>
      <c r="C501" s="58"/>
      <c r="D501" s="58"/>
      <c r="E501" s="58">
        <f t="shared" ref="E501:E502" si="100">+B501+C501+D501</f>
        <v>0</v>
      </c>
      <c r="F501" s="29"/>
    </row>
    <row r="502" spans="1:33" x14ac:dyDescent="0.25">
      <c r="A502" s="60" t="s">
        <v>75</v>
      </c>
      <c r="B502" s="61">
        <v>0</v>
      </c>
      <c r="C502" s="58"/>
      <c r="D502" s="58"/>
      <c r="E502" s="58">
        <f t="shared" si="100"/>
        <v>0</v>
      </c>
      <c r="F502" s="29"/>
    </row>
    <row r="503" spans="1:33" ht="18.75" x14ac:dyDescent="0.4">
      <c r="A503" s="34" t="s">
        <v>113</v>
      </c>
      <c r="B503" s="40"/>
      <c r="C503" s="40"/>
      <c r="D503" s="40"/>
      <c r="E503" s="51"/>
      <c r="F503" s="29"/>
    </row>
    <row r="504" spans="1:33" x14ac:dyDescent="0.25">
      <c r="A504" s="59"/>
      <c r="B504" s="58"/>
      <c r="C504" s="58"/>
      <c r="D504" s="58"/>
      <c r="E504" s="58">
        <f t="shared" ref="E504" si="101">+B504+C504+D504</f>
        <v>0</v>
      </c>
      <c r="F504" s="29"/>
    </row>
    <row r="505" spans="1:33" x14ac:dyDescent="0.25">
      <c r="F505" s="29">
        <f>SUM(F241:F504)+F519</f>
        <v>3076645</v>
      </c>
      <c r="G505">
        <f>498534+2302200</f>
        <v>2800734</v>
      </c>
      <c r="H505" s="29">
        <f>+F505-G505</f>
        <v>275911</v>
      </c>
    </row>
    <row r="506" spans="1:33" x14ac:dyDescent="0.25">
      <c r="F506" s="29"/>
    </row>
    <row r="507" spans="1:33" ht="29.25" customHeight="1" x14ac:dyDescent="0.25">
      <c r="A507" s="187" t="s">
        <v>51</v>
      </c>
      <c r="B507" s="187"/>
      <c r="C507" s="187"/>
      <c r="D507" s="187"/>
      <c r="E507" s="187"/>
      <c r="F507" s="82"/>
      <c r="G507" s="82"/>
    </row>
    <row r="509" spans="1:33" ht="30" x14ac:dyDescent="0.25">
      <c r="A509" s="33" t="s">
        <v>105</v>
      </c>
      <c r="B509" s="38" t="s">
        <v>106</v>
      </c>
      <c r="C509" s="38" t="s">
        <v>107</v>
      </c>
      <c r="D509" s="38" t="s">
        <v>108</v>
      </c>
      <c r="E509" s="38" t="s">
        <v>109</v>
      </c>
    </row>
    <row r="510" spans="1:33" ht="18.75" x14ac:dyDescent="0.4">
      <c r="A510" s="32" t="s">
        <v>110</v>
      </c>
      <c r="B510" s="37">
        <f>SUM(B511:B528)</f>
        <v>65417</v>
      </c>
      <c r="C510" s="37">
        <f t="shared" ref="C510:E510" si="102">SUM(C511:C528)</f>
        <v>26465</v>
      </c>
      <c r="D510" s="37">
        <f t="shared" si="102"/>
        <v>0</v>
      </c>
      <c r="E510" s="37">
        <f t="shared" si="102"/>
        <v>91882</v>
      </c>
    </row>
    <row r="511" spans="1:33" s="3" customFormat="1" ht="11.25" customHeight="1" x14ac:dyDescent="0.15">
      <c r="A511" s="59" t="s">
        <v>1</v>
      </c>
      <c r="B511" s="58">
        <v>5300</v>
      </c>
      <c r="C511" s="58"/>
      <c r="D511" s="58"/>
      <c r="E511" s="58">
        <f t="shared" ref="E511:E519" si="103">+B511+C511+D511</f>
        <v>5300</v>
      </c>
      <c r="F511" s="4"/>
      <c r="G511" s="4"/>
      <c r="I511" s="4"/>
      <c r="K511" s="4"/>
      <c r="M511" s="4"/>
      <c r="O511" s="4"/>
      <c r="Q511" s="4"/>
      <c r="S511" s="4"/>
      <c r="U511" s="4"/>
      <c r="W511" s="4"/>
      <c r="Y511" s="4"/>
      <c r="AA511" s="4"/>
      <c r="AC511" s="4"/>
      <c r="AE511" s="4"/>
      <c r="AG511" s="4"/>
    </row>
    <row r="512" spans="1:33" x14ac:dyDescent="0.25">
      <c r="A512" s="59" t="s">
        <v>4</v>
      </c>
      <c r="B512" s="58">
        <v>26040</v>
      </c>
      <c r="C512" s="58"/>
      <c r="D512" s="58"/>
      <c r="E512" s="58">
        <f t="shared" si="103"/>
        <v>26040</v>
      </c>
    </row>
    <row r="513" spans="1:6" x14ac:dyDescent="0.25">
      <c r="A513" s="59" t="s">
        <v>39</v>
      </c>
      <c r="B513" s="58">
        <v>550</v>
      </c>
      <c r="C513" s="58">
        <v>9465</v>
      </c>
      <c r="D513" s="58"/>
      <c r="E513" s="58">
        <f t="shared" si="103"/>
        <v>10015</v>
      </c>
    </row>
    <row r="514" spans="1:6" x14ac:dyDescent="0.25">
      <c r="A514" s="59" t="s">
        <v>18</v>
      </c>
      <c r="B514" s="58">
        <v>1000</v>
      </c>
      <c r="C514" s="58"/>
      <c r="D514" s="58"/>
      <c r="E514" s="58">
        <f t="shared" si="103"/>
        <v>1000</v>
      </c>
    </row>
    <row r="515" spans="1:6" x14ac:dyDescent="0.25">
      <c r="A515" s="59" t="s">
        <v>19</v>
      </c>
      <c r="B515" s="58">
        <v>600</v>
      </c>
      <c r="C515" s="58"/>
      <c r="D515" s="58"/>
      <c r="E515" s="58">
        <f t="shared" si="103"/>
        <v>600</v>
      </c>
    </row>
    <row r="516" spans="1:6" x14ac:dyDescent="0.25">
      <c r="A516" s="59" t="s">
        <v>10</v>
      </c>
      <c r="B516" s="58">
        <v>8000</v>
      </c>
      <c r="C516" s="58">
        <v>17000</v>
      </c>
      <c r="D516" s="58"/>
      <c r="E516" s="58">
        <f t="shared" si="103"/>
        <v>25000</v>
      </c>
    </row>
    <row r="517" spans="1:6" x14ac:dyDescent="0.25">
      <c r="A517" s="59" t="s">
        <v>11</v>
      </c>
      <c r="B517" s="58">
        <v>3800</v>
      </c>
      <c r="C517" s="58"/>
      <c r="D517" s="58"/>
      <c r="E517" s="58">
        <f t="shared" si="103"/>
        <v>3800</v>
      </c>
    </row>
    <row r="518" spans="1:6" x14ac:dyDescent="0.25">
      <c r="A518" s="59" t="s">
        <v>40</v>
      </c>
      <c r="B518" s="58">
        <v>17500</v>
      </c>
      <c r="C518" s="58"/>
      <c r="D518" s="58"/>
      <c r="E518" s="58">
        <f t="shared" si="103"/>
        <v>17500</v>
      </c>
    </row>
    <row r="519" spans="1:6" x14ac:dyDescent="0.25">
      <c r="A519" s="59" t="s">
        <v>13</v>
      </c>
      <c r="B519" s="58">
        <v>2627</v>
      </c>
      <c r="C519" s="58"/>
      <c r="D519" s="58"/>
      <c r="E519" s="58">
        <f t="shared" si="103"/>
        <v>2627</v>
      </c>
      <c r="F519" s="36">
        <f>SUM(E511:E519)</f>
        <v>91882</v>
      </c>
    </row>
    <row r="520" spans="1:6" x14ac:dyDescent="0.25">
      <c r="A520" s="9"/>
      <c r="B520" s="40"/>
      <c r="C520" s="40"/>
      <c r="D520" s="40"/>
      <c r="E520" s="51"/>
      <c r="F520" s="29" t="s">
        <v>75</v>
      </c>
    </row>
    <row r="521" spans="1:6" ht="18.75" x14ac:dyDescent="0.4">
      <c r="A521" s="32" t="s">
        <v>111</v>
      </c>
      <c r="B521" s="40"/>
      <c r="C521" s="40"/>
      <c r="D521" s="40"/>
      <c r="E521" s="51"/>
    </row>
    <row r="522" spans="1:6" x14ac:dyDescent="0.25">
      <c r="A522" s="59"/>
      <c r="B522" s="58"/>
      <c r="C522" s="58"/>
      <c r="D522" s="58"/>
      <c r="E522" s="58">
        <f t="shared" ref="E522:E523" si="104">+B522+C522+D522</f>
        <v>0</v>
      </c>
    </row>
    <row r="523" spans="1:6" x14ac:dyDescent="0.25">
      <c r="A523" s="59"/>
      <c r="B523" s="58"/>
      <c r="C523" s="58"/>
      <c r="D523" s="58"/>
      <c r="E523" s="58">
        <f t="shared" si="104"/>
        <v>0</v>
      </c>
    </row>
    <row r="524" spans="1:6" ht="18.75" x14ac:dyDescent="0.4">
      <c r="A524" s="32" t="s">
        <v>112</v>
      </c>
      <c r="B524" s="40"/>
      <c r="C524" s="40"/>
      <c r="D524" s="40"/>
      <c r="E524" s="51"/>
    </row>
    <row r="525" spans="1:6" x14ac:dyDescent="0.25">
      <c r="A525" s="60" t="s">
        <v>124</v>
      </c>
      <c r="B525" s="58">
        <v>0</v>
      </c>
      <c r="C525" s="58"/>
      <c r="D525" s="58"/>
      <c r="E525" s="58">
        <f t="shared" ref="E525:E526" si="105">+B525+C525+D525</f>
        <v>0</v>
      </c>
    </row>
    <row r="526" spans="1:6" x14ac:dyDescent="0.25">
      <c r="A526" s="60" t="s">
        <v>75</v>
      </c>
      <c r="B526" s="61">
        <v>0</v>
      </c>
      <c r="C526" s="58"/>
      <c r="D526" s="58"/>
      <c r="E526" s="58">
        <f t="shared" si="105"/>
        <v>0</v>
      </c>
    </row>
    <row r="527" spans="1:6" ht="18.75" x14ac:dyDescent="0.4">
      <c r="A527" s="34" t="s">
        <v>113</v>
      </c>
      <c r="B527" s="40"/>
      <c r="C527" s="40"/>
      <c r="D527" s="40"/>
      <c r="E527" s="51"/>
    </row>
    <row r="528" spans="1:6" x14ac:dyDescent="0.25">
      <c r="A528" s="59"/>
      <c r="B528" s="58"/>
      <c r="C528" s="58"/>
      <c r="D528" s="58"/>
      <c r="E528" s="58">
        <f t="shared" ref="E528" si="106">+B528+C528+D528</f>
        <v>0</v>
      </c>
    </row>
    <row r="529" spans="1:34" x14ac:dyDescent="0.25">
      <c r="A529" s="9"/>
      <c r="B529" s="40"/>
      <c r="C529" s="40"/>
      <c r="D529" s="40"/>
      <c r="E529" s="51"/>
    </row>
    <row r="530" spans="1:34" x14ac:dyDescent="0.25">
      <c r="A530" s="9"/>
      <c r="B530" s="40"/>
      <c r="C530" s="40"/>
      <c r="D530" s="40"/>
      <c r="E530" s="51"/>
    </row>
    <row r="531" spans="1:34" x14ac:dyDescent="0.25">
      <c r="A531" s="9"/>
      <c r="B531" s="40"/>
      <c r="C531" s="40"/>
      <c r="D531" s="40"/>
      <c r="E531" s="51"/>
    </row>
    <row r="532" spans="1:34" ht="18.75" x14ac:dyDescent="0.4">
      <c r="A532" s="169" t="s">
        <v>52</v>
      </c>
      <c r="B532" s="169"/>
      <c r="C532" s="169"/>
      <c r="D532" s="169"/>
      <c r="E532" s="169"/>
      <c r="F532" s="69"/>
      <c r="G532" s="69"/>
    </row>
    <row r="533" spans="1:34" x14ac:dyDescent="0.25">
      <c r="A533" s="23"/>
    </row>
    <row r="534" spans="1:34" ht="30" x14ac:dyDescent="0.25">
      <c r="A534" s="33" t="s">
        <v>105</v>
      </c>
      <c r="B534" s="38" t="s">
        <v>106</v>
      </c>
      <c r="C534" s="38" t="s">
        <v>107</v>
      </c>
      <c r="D534" s="38" t="s">
        <v>108</v>
      </c>
      <c r="E534" s="38" t="s">
        <v>109</v>
      </c>
    </row>
    <row r="535" spans="1:34" ht="18.75" x14ac:dyDescent="0.4">
      <c r="A535" s="32" t="s">
        <v>110</v>
      </c>
      <c r="B535" s="37">
        <f>SUM(B536:B572)</f>
        <v>2933255</v>
      </c>
      <c r="C535" s="37">
        <f t="shared" ref="C535:E535" si="107">SUM(C536:C572)</f>
        <v>0</v>
      </c>
      <c r="D535" s="37">
        <f t="shared" si="107"/>
        <v>0</v>
      </c>
      <c r="E535" s="37">
        <f t="shared" si="107"/>
        <v>2933255</v>
      </c>
    </row>
    <row r="536" spans="1:34" s="3" customFormat="1" ht="11.25" customHeight="1" x14ac:dyDescent="0.25">
      <c r="A536" s="59" t="s">
        <v>1</v>
      </c>
      <c r="B536" s="52">
        <v>105700</v>
      </c>
      <c r="C536" s="58"/>
      <c r="D536" s="58"/>
      <c r="E536" s="58">
        <f t="shared" ref="E536:E563" si="108">+B536+C536+D536</f>
        <v>105700</v>
      </c>
      <c r="F536" s="39" t="s">
        <v>75</v>
      </c>
      <c r="G536"/>
      <c r="H536"/>
      <c r="I536" s="4"/>
      <c r="K536" s="4"/>
      <c r="M536" s="4"/>
      <c r="O536" s="4"/>
      <c r="Q536" s="4"/>
      <c r="S536" s="4"/>
      <c r="U536" s="4"/>
      <c r="W536" s="4"/>
      <c r="Y536" s="4"/>
      <c r="AA536" s="4"/>
      <c r="AC536" s="4"/>
      <c r="AE536" s="4"/>
      <c r="AG536" s="4"/>
    </row>
    <row r="537" spans="1:34" s="3" customFormat="1" ht="11.25" customHeight="1" x14ac:dyDescent="0.25">
      <c r="A537" s="59" t="s">
        <v>2</v>
      </c>
      <c r="B537" s="52">
        <v>14396</v>
      </c>
      <c r="C537" s="52"/>
      <c r="D537" s="58"/>
      <c r="E537" s="58">
        <f t="shared" si="108"/>
        <v>14396</v>
      </c>
      <c r="F537" s="47" t="s">
        <v>75</v>
      </c>
      <c r="G537"/>
      <c r="H537"/>
      <c r="I537" s="8"/>
      <c r="J537" s="7"/>
      <c r="K537" s="8"/>
      <c r="L537" s="7"/>
      <c r="M537" s="8"/>
      <c r="N537" s="7"/>
      <c r="O537" s="8"/>
      <c r="P537" s="7"/>
      <c r="Q537" s="8"/>
      <c r="R537" s="7"/>
      <c r="S537" s="8"/>
      <c r="T537" s="7"/>
      <c r="U537" s="8"/>
      <c r="V537" s="7"/>
      <c r="W537" s="8"/>
      <c r="X537" s="7"/>
      <c r="Y537" s="8"/>
      <c r="Z537" s="7"/>
      <c r="AA537" s="8"/>
      <c r="AB537" s="7"/>
      <c r="AC537" s="8"/>
      <c r="AD537" s="7"/>
      <c r="AE537" s="8"/>
      <c r="AF537" s="7"/>
      <c r="AG537" s="8"/>
      <c r="AH537" s="7"/>
    </row>
    <row r="538" spans="1:34" s="3" customFormat="1" ht="11.25" customHeight="1" x14ac:dyDescent="0.25">
      <c r="A538" s="59" t="s">
        <v>53</v>
      </c>
      <c r="B538" s="67">
        <v>0</v>
      </c>
      <c r="C538" s="58"/>
      <c r="D538" s="58"/>
      <c r="E538" s="58">
        <f>+B538+C538+D538</f>
        <v>0</v>
      </c>
      <c r="F538" s="47" t="s">
        <v>75</v>
      </c>
      <c r="G538"/>
      <c r="H538"/>
      <c r="I538" s="8"/>
      <c r="J538" s="7"/>
      <c r="K538" s="8"/>
      <c r="L538" s="7"/>
      <c r="M538" s="8"/>
      <c r="N538" s="7"/>
      <c r="O538" s="8"/>
      <c r="P538" s="7"/>
      <c r="Q538" s="8"/>
      <c r="R538" s="7"/>
      <c r="S538" s="8"/>
      <c r="T538" s="7"/>
      <c r="U538" s="8"/>
      <c r="V538" s="7"/>
      <c r="W538" s="8"/>
      <c r="X538" s="7"/>
      <c r="Y538" s="8"/>
      <c r="Z538" s="7"/>
      <c r="AA538" s="8"/>
      <c r="AB538" s="7"/>
      <c r="AC538" s="8"/>
      <c r="AD538" s="7"/>
      <c r="AE538" s="8"/>
      <c r="AF538" s="7"/>
      <c r="AG538" s="8"/>
      <c r="AH538" s="7"/>
    </row>
    <row r="539" spans="1:34" s="3" customFormat="1" ht="11.25" customHeight="1" x14ac:dyDescent="0.25">
      <c r="A539" s="59" t="s">
        <v>3</v>
      </c>
      <c r="B539" s="52">
        <v>228928</v>
      </c>
      <c r="C539" s="52"/>
      <c r="D539" s="58"/>
      <c r="E539" s="58">
        <f>+B539+C539+D539</f>
        <v>228928</v>
      </c>
      <c r="F539" s="47"/>
      <c r="G539"/>
      <c r="H539"/>
      <c r="I539" s="8"/>
      <c r="J539" s="7"/>
      <c r="K539" s="8"/>
      <c r="L539" s="7"/>
      <c r="M539" s="8"/>
      <c r="N539" s="7"/>
      <c r="O539" s="8"/>
      <c r="P539" s="7"/>
      <c r="Q539" s="8"/>
      <c r="R539" s="7"/>
      <c r="S539" s="8"/>
      <c r="T539" s="7"/>
      <c r="U539" s="8"/>
      <c r="V539" s="7"/>
      <c r="W539" s="8"/>
      <c r="X539" s="7"/>
      <c r="Y539" s="8"/>
      <c r="Z539" s="7"/>
      <c r="AA539" s="8"/>
      <c r="AB539" s="7"/>
      <c r="AC539" s="8"/>
      <c r="AD539" s="7"/>
      <c r="AE539" s="8"/>
      <c r="AF539" s="7"/>
      <c r="AG539" s="8"/>
      <c r="AH539" s="7"/>
    </row>
    <row r="540" spans="1:34" x14ac:dyDescent="0.25">
      <c r="A540" s="59" t="s">
        <v>54</v>
      </c>
      <c r="B540" s="67">
        <v>71050</v>
      </c>
      <c r="C540" s="58"/>
      <c r="D540" s="58"/>
      <c r="E540" s="58">
        <f t="shared" si="108"/>
        <v>71050</v>
      </c>
      <c r="F540" s="36" t="s">
        <v>75</v>
      </c>
    </row>
    <row r="541" spans="1:34" x14ac:dyDescent="0.25">
      <c r="A541" s="59" t="s">
        <v>18</v>
      </c>
      <c r="B541" s="67">
        <v>1100800</v>
      </c>
      <c r="C541" s="58"/>
      <c r="D541" s="58"/>
      <c r="E541" s="58">
        <f t="shared" si="108"/>
        <v>1100800</v>
      </c>
      <c r="F541" s="36" t="s">
        <v>129</v>
      </c>
    </row>
    <row r="542" spans="1:34" x14ac:dyDescent="0.25">
      <c r="A542" s="59" t="s">
        <v>55</v>
      </c>
      <c r="B542" s="67">
        <v>26558</v>
      </c>
      <c r="C542" s="58"/>
      <c r="D542" s="58"/>
      <c r="E542" s="58">
        <f t="shared" si="108"/>
        <v>26558</v>
      </c>
      <c r="F542" s="36" t="s">
        <v>130</v>
      </c>
    </row>
    <row r="543" spans="1:34" x14ac:dyDescent="0.25">
      <c r="A543" s="59" t="s">
        <v>7</v>
      </c>
      <c r="B543" s="67">
        <v>7350</v>
      </c>
      <c r="C543" s="58"/>
      <c r="D543" s="58"/>
      <c r="E543" s="58">
        <f t="shared" si="108"/>
        <v>7350</v>
      </c>
      <c r="F543" s="36" t="s">
        <v>129</v>
      </c>
    </row>
    <row r="544" spans="1:34" x14ac:dyDescent="0.25">
      <c r="A544" s="59" t="s">
        <v>56</v>
      </c>
      <c r="B544" s="67">
        <v>2450</v>
      </c>
      <c r="C544" s="58"/>
      <c r="D544" s="58"/>
      <c r="E544" s="58">
        <f t="shared" si="108"/>
        <v>2450</v>
      </c>
      <c r="F544" s="36" t="s">
        <v>75</v>
      </c>
    </row>
    <row r="545" spans="1:6" x14ac:dyDescent="0.25">
      <c r="A545" s="59" t="s">
        <v>57</v>
      </c>
      <c r="B545" s="67">
        <v>245</v>
      </c>
      <c r="C545" s="58"/>
      <c r="D545" s="58"/>
      <c r="E545" s="58">
        <f t="shared" si="108"/>
        <v>245</v>
      </c>
      <c r="F545" s="36" t="s">
        <v>75</v>
      </c>
    </row>
    <row r="546" spans="1:6" x14ac:dyDescent="0.25">
      <c r="A546" s="59" t="s">
        <v>58</v>
      </c>
      <c r="B546" s="67">
        <v>33840</v>
      </c>
      <c r="C546" s="58"/>
      <c r="D546" s="58"/>
      <c r="E546" s="58">
        <f t="shared" si="108"/>
        <v>33840</v>
      </c>
      <c r="F546" s="36" t="s">
        <v>75</v>
      </c>
    </row>
    <row r="547" spans="1:6" x14ac:dyDescent="0.25">
      <c r="A547" s="59" t="s">
        <v>8</v>
      </c>
      <c r="B547" s="67">
        <v>9800</v>
      </c>
      <c r="C547" s="58"/>
      <c r="D547" s="58"/>
      <c r="E547" s="58">
        <f t="shared" si="108"/>
        <v>9800</v>
      </c>
      <c r="F547" s="36" t="s">
        <v>75</v>
      </c>
    </row>
    <row r="548" spans="1:6" x14ac:dyDescent="0.25">
      <c r="A548" s="59" t="s">
        <v>59</v>
      </c>
      <c r="B548" s="67">
        <v>4714</v>
      </c>
      <c r="C548" s="58"/>
      <c r="D548" s="58"/>
      <c r="E548" s="58">
        <f t="shared" si="108"/>
        <v>4714</v>
      </c>
      <c r="F548" s="36" t="s">
        <v>129</v>
      </c>
    </row>
    <row r="549" spans="1:6" x14ac:dyDescent="0.25">
      <c r="A549" s="59" t="s">
        <v>9</v>
      </c>
      <c r="B549" s="67">
        <v>27350</v>
      </c>
      <c r="C549" s="58"/>
      <c r="D549" s="58"/>
      <c r="E549" s="58">
        <f t="shared" si="108"/>
        <v>27350</v>
      </c>
      <c r="F549" s="36" t="s">
        <v>75</v>
      </c>
    </row>
    <row r="550" spans="1:6" x14ac:dyDescent="0.25">
      <c r="A550" s="59" t="s">
        <v>60</v>
      </c>
      <c r="B550" s="88">
        <v>6769</v>
      </c>
      <c r="C550" s="58"/>
      <c r="D550" s="58"/>
      <c r="E550" s="58">
        <f t="shared" si="108"/>
        <v>6769</v>
      </c>
      <c r="F550" t="s">
        <v>75</v>
      </c>
    </row>
    <row r="551" spans="1:6" x14ac:dyDescent="0.25">
      <c r="A551" s="59" t="s">
        <v>61</v>
      </c>
      <c r="B551" s="88">
        <v>433863</v>
      </c>
      <c r="C551" s="58"/>
      <c r="D551" s="58"/>
      <c r="E551" s="58">
        <f t="shared" si="108"/>
        <v>433863</v>
      </c>
      <c r="F551" t="s">
        <v>75</v>
      </c>
    </row>
    <row r="552" spans="1:6" x14ac:dyDescent="0.25">
      <c r="A552" s="59" t="s">
        <v>62</v>
      </c>
      <c r="B552" s="88">
        <v>264433</v>
      </c>
      <c r="C552" s="58"/>
      <c r="D552" s="58"/>
      <c r="E552" s="58">
        <f t="shared" si="108"/>
        <v>264433</v>
      </c>
      <c r="F552" t="s">
        <v>75</v>
      </c>
    </row>
    <row r="553" spans="1:6" x14ac:dyDescent="0.25">
      <c r="A553" s="59" t="s">
        <v>10</v>
      </c>
      <c r="B553" s="88">
        <v>141710</v>
      </c>
      <c r="C553" s="58"/>
      <c r="D553" s="58"/>
      <c r="E553" s="58">
        <f t="shared" si="108"/>
        <v>141710</v>
      </c>
      <c r="F553" t="s">
        <v>75</v>
      </c>
    </row>
    <row r="554" spans="1:6" x14ac:dyDescent="0.25">
      <c r="A554" s="59" t="s">
        <v>11</v>
      </c>
      <c r="B554" s="88">
        <v>361017</v>
      </c>
      <c r="C554" s="58"/>
      <c r="D554" s="58"/>
      <c r="E554" s="58">
        <f t="shared" si="108"/>
        <v>361017</v>
      </c>
      <c r="F554" s="36" t="s">
        <v>75</v>
      </c>
    </row>
    <row r="555" spans="1:6" x14ac:dyDescent="0.25">
      <c r="A555" s="59" t="s">
        <v>40</v>
      </c>
      <c r="B555" s="88">
        <v>1715</v>
      </c>
      <c r="C555" s="58"/>
      <c r="D555" s="58"/>
      <c r="E555" s="58">
        <f t="shared" si="108"/>
        <v>1715</v>
      </c>
      <c r="F555" t="s">
        <v>75</v>
      </c>
    </row>
    <row r="556" spans="1:6" x14ac:dyDescent="0.25">
      <c r="A556" s="59" t="s">
        <v>63</v>
      </c>
      <c r="B556" s="88">
        <v>4980</v>
      </c>
      <c r="C556" s="58"/>
      <c r="D556" s="58"/>
      <c r="E556" s="58">
        <f t="shared" si="108"/>
        <v>4980</v>
      </c>
      <c r="F556" t="s">
        <v>75</v>
      </c>
    </row>
    <row r="557" spans="1:6" x14ac:dyDescent="0.25">
      <c r="A557" s="59" t="s">
        <v>64</v>
      </c>
      <c r="B557" s="88">
        <v>7450</v>
      </c>
      <c r="C557" s="58"/>
      <c r="D557" s="58"/>
      <c r="E557" s="58">
        <f t="shared" si="108"/>
        <v>7450</v>
      </c>
      <c r="F557" t="s">
        <v>75</v>
      </c>
    </row>
    <row r="558" spans="1:6" x14ac:dyDescent="0.25">
      <c r="A558" s="59" t="s">
        <v>12</v>
      </c>
      <c r="B558" s="88">
        <v>10780</v>
      </c>
      <c r="C558" s="58"/>
      <c r="D558" s="58"/>
      <c r="E558" s="58">
        <f t="shared" si="108"/>
        <v>10780</v>
      </c>
      <c r="F558" t="s">
        <v>75</v>
      </c>
    </row>
    <row r="559" spans="1:6" x14ac:dyDescent="0.25">
      <c r="A559" s="59" t="s">
        <v>13</v>
      </c>
      <c r="B559" s="88">
        <v>6953</v>
      </c>
      <c r="C559" s="58"/>
      <c r="D559" s="89"/>
      <c r="E559" s="58">
        <f t="shared" si="108"/>
        <v>6953</v>
      </c>
      <c r="F559" s="90" t="s">
        <v>75</v>
      </c>
    </row>
    <row r="560" spans="1:6" x14ac:dyDescent="0.25">
      <c r="A560" s="59" t="s">
        <v>172</v>
      </c>
      <c r="B560" s="88">
        <v>2450</v>
      </c>
      <c r="C560" s="58"/>
      <c r="D560" s="89"/>
      <c r="E560" s="58">
        <f t="shared" si="108"/>
        <v>2450</v>
      </c>
      <c r="F560" s="91" t="s">
        <v>75</v>
      </c>
    </row>
    <row r="561" spans="1:6" x14ac:dyDescent="0.25">
      <c r="A561" s="117" t="s">
        <v>171</v>
      </c>
      <c r="B561" s="88">
        <v>52000</v>
      </c>
      <c r="C561" s="63"/>
      <c r="D561" s="89"/>
      <c r="E561" s="58">
        <f t="shared" si="108"/>
        <v>52000</v>
      </c>
      <c r="F561" s="90" t="s">
        <v>75</v>
      </c>
    </row>
    <row r="562" spans="1:6" x14ac:dyDescent="0.25">
      <c r="A562" s="59" t="s">
        <v>36</v>
      </c>
      <c r="B562" s="67">
        <v>5954</v>
      </c>
      <c r="C562" s="58"/>
      <c r="D562" s="58"/>
      <c r="E562" s="70">
        <f t="shared" si="108"/>
        <v>5954</v>
      </c>
    </row>
    <row r="563" spans="1:6" x14ac:dyDescent="0.25">
      <c r="A563" s="59" t="s">
        <v>5</v>
      </c>
      <c r="B563" s="58"/>
      <c r="C563" s="58"/>
      <c r="D563" s="58"/>
      <c r="E563" s="58">
        <f t="shared" si="108"/>
        <v>0</v>
      </c>
      <c r="F563" s="36">
        <f>SUM(E536:E563)</f>
        <v>2933255</v>
      </c>
    </row>
    <row r="564" spans="1:6" x14ac:dyDescent="0.25">
      <c r="A564" s="9"/>
      <c r="B564" s="40"/>
      <c r="C564" s="40"/>
      <c r="D564" s="40"/>
      <c r="E564" s="51"/>
      <c r="F564" s="29" t="s">
        <v>75</v>
      </c>
    </row>
    <row r="565" spans="1:6" ht="18.75" x14ac:dyDescent="0.4">
      <c r="A565" s="32" t="s">
        <v>111</v>
      </c>
      <c r="B565" s="40"/>
      <c r="C565" s="40"/>
      <c r="D565" s="40"/>
      <c r="E565" s="51"/>
      <c r="F565" s="29"/>
    </row>
    <row r="566" spans="1:6" x14ac:dyDescent="0.25">
      <c r="A566" s="59"/>
      <c r="B566" s="58"/>
      <c r="C566" s="58"/>
      <c r="D566" s="58"/>
      <c r="E566" s="58">
        <f t="shared" ref="E566:E567" si="109">+B566+C566+D566</f>
        <v>0</v>
      </c>
      <c r="F566" s="29"/>
    </row>
    <row r="567" spans="1:6" x14ac:dyDescent="0.25">
      <c r="A567" s="59"/>
      <c r="B567" s="58"/>
      <c r="C567" s="58"/>
      <c r="D567" s="58"/>
      <c r="E567" s="58">
        <f t="shared" si="109"/>
        <v>0</v>
      </c>
      <c r="F567" s="29"/>
    </row>
    <row r="568" spans="1:6" ht="18.75" x14ac:dyDescent="0.4">
      <c r="A568" s="32" t="s">
        <v>112</v>
      </c>
      <c r="B568" s="40"/>
      <c r="C568" s="40"/>
      <c r="D568" s="40"/>
      <c r="E568" s="51"/>
      <c r="F568" s="29"/>
    </row>
    <row r="569" spans="1:6" x14ac:dyDescent="0.25">
      <c r="A569" s="60" t="s">
        <v>124</v>
      </c>
      <c r="B569" s="58">
        <v>0</v>
      </c>
      <c r="C569" s="58"/>
      <c r="D569" s="58"/>
      <c r="E569" s="58">
        <f t="shared" ref="E569:E570" si="110">+B569+C569+D569</f>
        <v>0</v>
      </c>
      <c r="F569" s="29"/>
    </row>
    <row r="570" spans="1:6" x14ac:dyDescent="0.25">
      <c r="A570" s="60" t="s">
        <v>75</v>
      </c>
      <c r="B570" s="61">
        <v>0</v>
      </c>
      <c r="C570" s="58"/>
      <c r="D570" s="58"/>
      <c r="E570" s="58">
        <f t="shared" si="110"/>
        <v>0</v>
      </c>
      <c r="F570" s="29"/>
    </row>
    <row r="571" spans="1:6" ht="18.75" x14ac:dyDescent="0.4">
      <c r="A571" s="34" t="s">
        <v>113</v>
      </c>
      <c r="B571" s="40"/>
      <c r="C571" s="40"/>
      <c r="D571" s="40"/>
      <c r="E571" s="51"/>
      <c r="F571" s="29"/>
    </row>
    <row r="572" spans="1:6" x14ac:dyDescent="0.25">
      <c r="A572" s="59"/>
      <c r="B572" s="58"/>
      <c r="C572" s="58"/>
      <c r="D572" s="58"/>
      <c r="E572" s="58">
        <f t="shared" ref="E572" si="111">+B572+C572+D572</f>
        <v>0</v>
      </c>
      <c r="F572" s="29"/>
    </row>
    <row r="573" spans="1:6" x14ac:dyDescent="0.25">
      <c r="A573" s="9"/>
      <c r="B573" s="40"/>
      <c r="C573" s="40"/>
      <c r="D573" s="40"/>
      <c r="E573" s="51"/>
      <c r="F573" s="29"/>
    </row>
    <row r="574" spans="1:6" x14ac:dyDescent="0.25">
      <c r="A574" s="9"/>
      <c r="B574" s="40"/>
      <c r="C574" s="40"/>
      <c r="D574" s="40"/>
      <c r="E574" s="51"/>
      <c r="F574" s="29"/>
    </row>
    <row r="575" spans="1:6" ht="18.75" x14ac:dyDescent="0.4">
      <c r="A575" s="169" t="s">
        <v>65</v>
      </c>
      <c r="B575" s="169"/>
      <c r="C575" s="169"/>
      <c r="D575" s="169"/>
      <c r="E575" s="169"/>
      <c r="F575" s="69"/>
    </row>
    <row r="576" spans="1:6" x14ac:dyDescent="0.25">
      <c r="A576" s="23"/>
    </row>
    <row r="577" spans="1:34" ht="30" x14ac:dyDescent="0.25">
      <c r="A577" s="33" t="s">
        <v>105</v>
      </c>
      <c r="B577" s="38" t="s">
        <v>106</v>
      </c>
      <c r="C577" s="38" t="s">
        <v>107</v>
      </c>
      <c r="D577" s="38" t="s">
        <v>108</v>
      </c>
      <c r="E577" s="38" t="s">
        <v>109</v>
      </c>
    </row>
    <row r="578" spans="1:34" ht="18.75" x14ac:dyDescent="0.4">
      <c r="A578" s="32" t="s">
        <v>110</v>
      </c>
      <c r="B578" s="37">
        <f>SUM(B579:B617)</f>
        <v>2433511.2200000002</v>
      </c>
      <c r="C578" s="37">
        <f t="shared" ref="C578:E578" si="112">SUM(C579:C617)</f>
        <v>960083.54999999993</v>
      </c>
      <c r="D578" s="37">
        <f t="shared" si="112"/>
        <v>0</v>
      </c>
      <c r="E578" s="37">
        <f t="shared" si="112"/>
        <v>3393594.7699999996</v>
      </c>
    </row>
    <row r="579" spans="1:34" x14ac:dyDescent="0.25">
      <c r="A579" s="59" t="s">
        <v>1</v>
      </c>
      <c r="B579" s="128">
        <f>200700-C579</f>
        <v>186554.94</v>
      </c>
      <c r="C579" s="123">
        <v>14145.06</v>
      </c>
      <c r="D579" s="58"/>
      <c r="E579" s="58">
        <f t="shared" ref="E579:E589" si="113">+B579+C579+D579</f>
        <v>200700</v>
      </c>
    </row>
    <row r="580" spans="1:34" x14ac:dyDescent="0.25">
      <c r="A580" s="59" t="s">
        <v>2</v>
      </c>
      <c r="B580" s="128">
        <v>22396</v>
      </c>
      <c r="C580" s="129">
        <v>8004</v>
      </c>
      <c r="D580" s="58"/>
      <c r="E580" s="58">
        <f t="shared" si="113"/>
        <v>30400</v>
      </c>
    </row>
    <row r="581" spans="1:34" x14ac:dyDescent="0.25">
      <c r="A581" s="59" t="s">
        <v>53</v>
      </c>
      <c r="B581" s="77">
        <v>7350</v>
      </c>
      <c r="C581" s="127"/>
      <c r="D581" s="58"/>
      <c r="E581" s="58">
        <f>+B581+C581+D581</f>
        <v>7350</v>
      </c>
    </row>
    <row r="582" spans="1:34" x14ac:dyDescent="0.25">
      <c r="A582" s="59" t="s">
        <v>3</v>
      </c>
      <c r="B582" s="128">
        <f>259928-C582</f>
        <v>174554.91</v>
      </c>
      <c r="C582" s="123">
        <v>85373.09</v>
      </c>
      <c r="D582" s="58"/>
      <c r="E582" s="58">
        <f t="shared" si="113"/>
        <v>259928</v>
      </c>
    </row>
    <row r="583" spans="1:34" x14ac:dyDescent="0.25">
      <c r="A583" s="59" t="s">
        <v>54</v>
      </c>
      <c r="B583" s="77">
        <v>51050</v>
      </c>
      <c r="C583" s="127"/>
      <c r="D583" s="58"/>
      <c r="E583" s="58">
        <f t="shared" si="113"/>
        <v>51050</v>
      </c>
    </row>
    <row r="584" spans="1:34" x14ac:dyDescent="0.25">
      <c r="A584" s="59" t="s">
        <v>39</v>
      </c>
      <c r="B584" s="77">
        <v>23950</v>
      </c>
      <c r="C584" s="127"/>
      <c r="D584" s="58"/>
      <c r="E584" s="58">
        <f>+B584+C584+D584</f>
        <v>23950</v>
      </c>
    </row>
    <row r="585" spans="1:34" x14ac:dyDescent="0.25">
      <c r="A585" s="59" t="s">
        <v>18</v>
      </c>
      <c r="B585" s="77">
        <f>1546800-C585</f>
        <v>1278326.05</v>
      </c>
      <c r="C585" s="123">
        <v>268473.95</v>
      </c>
      <c r="D585" s="58"/>
      <c r="E585" s="58">
        <f t="shared" si="113"/>
        <v>1546800</v>
      </c>
    </row>
    <row r="586" spans="1:34" x14ac:dyDescent="0.25">
      <c r="A586" s="59" t="s">
        <v>55</v>
      </c>
      <c r="B586" s="77">
        <v>15354.33</v>
      </c>
      <c r="C586" s="123">
        <v>16506.8</v>
      </c>
      <c r="D586" s="58"/>
      <c r="E586" s="58">
        <f t="shared" si="113"/>
        <v>31861.129999999997</v>
      </c>
    </row>
    <row r="587" spans="1:34" x14ac:dyDescent="0.25">
      <c r="A587" s="59" t="s">
        <v>7</v>
      </c>
      <c r="B587" s="77">
        <v>7650</v>
      </c>
      <c r="C587" s="127"/>
      <c r="D587" s="58"/>
      <c r="E587" s="58">
        <f t="shared" si="113"/>
        <v>7650</v>
      </c>
    </row>
    <row r="588" spans="1:34" x14ac:dyDescent="0.25">
      <c r="A588" s="59" t="s">
        <v>56</v>
      </c>
      <c r="B588" s="77">
        <v>2450</v>
      </c>
      <c r="C588" s="127"/>
      <c r="D588" s="58"/>
      <c r="E588" s="58">
        <f t="shared" si="113"/>
        <v>2450</v>
      </c>
    </row>
    <row r="589" spans="1:34" x14ac:dyDescent="0.25">
      <c r="A589" s="59" t="s">
        <v>57</v>
      </c>
      <c r="B589" s="77">
        <v>245</v>
      </c>
      <c r="C589" s="127"/>
      <c r="D589" s="58"/>
      <c r="E589" s="58">
        <f t="shared" si="113"/>
        <v>245</v>
      </c>
    </row>
    <row r="590" spans="1:34" s="3" customFormat="1" ht="11.25" customHeight="1" x14ac:dyDescent="0.15">
      <c r="A590" s="59" t="s">
        <v>66</v>
      </c>
      <c r="B590" s="128">
        <v>12160</v>
      </c>
      <c r="C590" s="129">
        <v>9519.7800000000007</v>
      </c>
      <c r="D590" s="58"/>
      <c r="E590" s="58">
        <f t="shared" ref="E590:E607" si="114">+B590+C590+D590</f>
        <v>21679.78</v>
      </c>
      <c r="F590" s="8"/>
      <c r="G590" s="8"/>
      <c r="H590" s="9"/>
      <c r="I590" s="8"/>
      <c r="J590" s="7"/>
      <c r="K590" s="8"/>
      <c r="L590" s="7"/>
      <c r="M590" s="8"/>
      <c r="N590" s="7"/>
      <c r="O590" s="8"/>
      <c r="P590" s="7"/>
      <c r="Q590" s="8"/>
      <c r="R590" s="7"/>
      <c r="S590" s="8"/>
      <c r="T590" s="7"/>
      <c r="U590" s="8"/>
      <c r="V590" s="7"/>
      <c r="W590" s="8"/>
      <c r="X590" s="7"/>
      <c r="Y590" s="8"/>
      <c r="Z590" s="7"/>
      <c r="AA590" s="8"/>
      <c r="AB590" s="7"/>
      <c r="AC590" s="8"/>
      <c r="AD590" s="7"/>
      <c r="AE590" s="8"/>
      <c r="AF590" s="7"/>
      <c r="AG590" s="8"/>
      <c r="AH590" s="7"/>
    </row>
    <row r="591" spans="1:34" s="3" customFormat="1" ht="11.25" customHeight="1" x14ac:dyDescent="0.15">
      <c r="A591" s="59" t="s">
        <v>67</v>
      </c>
      <c r="B591" s="128">
        <v>10200</v>
      </c>
      <c r="C591" s="123">
        <v>1177.98</v>
      </c>
      <c r="D591" s="58"/>
      <c r="E591" s="58">
        <f t="shared" si="114"/>
        <v>11377.98</v>
      </c>
      <c r="F591" s="8"/>
      <c r="G591" s="8"/>
      <c r="H591" s="9"/>
      <c r="I591" s="8"/>
      <c r="J591" s="7"/>
      <c r="K591" s="8"/>
      <c r="L591" s="7"/>
      <c r="M591" s="8"/>
      <c r="N591" s="7"/>
      <c r="O591" s="8"/>
      <c r="P591" s="7"/>
      <c r="Q591" s="8"/>
      <c r="R591" s="7"/>
      <c r="S591" s="8"/>
      <c r="T591" s="7"/>
      <c r="U591" s="8"/>
      <c r="V591" s="7"/>
      <c r="W591" s="8"/>
      <c r="X591" s="7"/>
      <c r="Y591" s="8"/>
      <c r="Z591" s="7"/>
      <c r="AA591" s="8"/>
      <c r="AB591" s="7"/>
      <c r="AC591" s="8"/>
      <c r="AD591" s="7"/>
      <c r="AE591" s="8"/>
      <c r="AF591" s="7"/>
      <c r="AG591" s="8"/>
      <c r="AH591" s="7"/>
    </row>
    <row r="592" spans="1:34" x14ac:dyDescent="0.25">
      <c r="A592" s="59" t="s">
        <v>72</v>
      </c>
      <c r="B592" s="77">
        <v>4906</v>
      </c>
      <c r="C592" s="127"/>
      <c r="D592" s="58"/>
      <c r="E592" s="58">
        <f t="shared" si="114"/>
        <v>4906</v>
      </c>
    </row>
    <row r="593" spans="1:6" x14ac:dyDescent="0.25">
      <c r="A593" s="59" t="s">
        <v>9</v>
      </c>
      <c r="B593" s="77">
        <v>6650</v>
      </c>
      <c r="C593" s="123">
        <v>16649.48</v>
      </c>
      <c r="D593" s="58"/>
      <c r="E593" s="58">
        <f t="shared" si="114"/>
        <v>23299.48</v>
      </c>
    </row>
    <row r="594" spans="1:6" x14ac:dyDescent="0.25">
      <c r="A594" s="59" t="s">
        <v>73</v>
      </c>
      <c r="B594" s="77">
        <v>7045</v>
      </c>
      <c r="C594" s="127"/>
      <c r="D594" s="58"/>
      <c r="E594" s="58">
        <f t="shared" si="114"/>
        <v>7045</v>
      </c>
    </row>
    <row r="595" spans="1:6" x14ac:dyDescent="0.25">
      <c r="A595" s="59" t="s">
        <v>74</v>
      </c>
      <c r="B595" s="77">
        <f>419734-C595</f>
        <v>199887.03</v>
      </c>
      <c r="C595" s="123">
        <v>219846.97</v>
      </c>
      <c r="D595" s="58"/>
      <c r="E595" s="58">
        <f t="shared" si="114"/>
        <v>419734</v>
      </c>
    </row>
    <row r="596" spans="1:6" x14ac:dyDescent="0.25">
      <c r="A596" s="59" t="s">
        <v>62</v>
      </c>
      <c r="B596" s="77">
        <f>187685-C596</f>
        <v>31012.179999999993</v>
      </c>
      <c r="C596" s="123">
        <v>156672.82</v>
      </c>
      <c r="D596" s="58"/>
      <c r="E596" s="58">
        <f t="shared" si="114"/>
        <v>187685</v>
      </c>
    </row>
    <row r="597" spans="1:6" x14ac:dyDescent="0.25">
      <c r="A597" s="59" t="s">
        <v>10</v>
      </c>
      <c r="B597" s="77">
        <f>147495-C597</f>
        <v>103945</v>
      </c>
      <c r="C597" s="127">
        <v>43550</v>
      </c>
      <c r="D597" s="58"/>
      <c r="E597" s="58">
        <f t="shared" si="114"/>
        <v>147495</v>
      </c>
    </row>
    <row r="598" spans="1:6" x14ac:dyDescent="0.25">
      <c r="A598" s="87" t="s">
        <v>68</v>
      </c>
      <c r="B598" s="128">
        <f>178239-C598</f>
        <v>171464.6</v>
      </c>
      <c r="C598" s="123">
        <v>6774.4</v>
      </c>
      <c r="D598" s="50"/>
      <c r="E598" s="58">
        <f>+B598+C598+D598</f>
        <v>178239</v>
      </c>
    </row>
    <row r="599" spans="1:6" x14ac:dyDescent="0.25">
      <c r="A599" s="59" t="s">
        <v>40</v>
      </c>
      <c r="B599" s="77">
        <v>1785</v>
      </c>
      <c r="C599" s="127"/>
      <c r="D599" s="58"/>
      <c r="E599" s="58">
        <f t="shared" si="114"/>
        <v>1785</v>
      </c>
    </row>
    <row r="600" spans="1:6" x14ac:dyDescent="0.25">
      <c r="A600" s="59" t="s">
        <v>63</v>
      </c>
      <c r="B600" s="77">
        <v>1020</v>
      </c>
      <c r="C600" s="127"/>
      <c r="D600" s="58"/>
      <c r="E600" s="58">
        <f t="shared" si="114"/>
        <v>1020</v>
      </c>
    </row>
    <row r="601" spans="1:6" x14ac:dyDescent="0.25">
      <c r="A601" s="59" t="s">
        <v>64</v>
      </c>
      <c r="B601" s="77">
        <v>9550</v>
      </c>
      <c r="C601" s="127"/>
      <c r="D601" s="58"/>
      <c r="E601" s="58">
        <f t="shared" si="114"/>
        <v>9550</v>
      </c>
    </row>
    <row r="602" spans="1:6" x14ac:dyDescent="0.25">
      <c r="A602" s="59" t="s">
        <v>12</v>
      </c>
      <c r="B602" s="77">
        <f>11220-C602</f>
        <v>3227.1800000000003</v>
      </c>
      <c r="C602" s="123">
        <v>7992.82</v>
      </c>
      <c r="D602" s="58"/>
      <c r="E602" s="58">
        <f t="shared" si="114"/>
        <v>11220</v>
      </c>
    </row>
    <row r="603" spans="1:6" x14ac:dyDescent="0.25">
      <c r="A603" s="59" t="s">
        <v>13</v>
      </c>
      <c r="B603" s="77">
        <v>6630</v>
      </c>
      <c r="C603" s="127"/>
      <c r="D603" s="58"/>
      <c r="E603" s="58">
        <f t="shared" si="114"/>
        <v>6630</v>
      </c>
    </row>
    <row r="604" spans="1:6" x14ac:dyDescent="0.25">
      <c r="A604" s="59" t="s">
        <v>69</v>
      </c>
      <c r="B604" s="128">
        <v>2550</v>
      </c>
      <c r="C604" s="129"/>
      <c r="D604" s="58"/>
      <c r="E604" s="58">
        <f>+B604+C604+D604</f>
        <v>2550</v>
      </c>
    </row>
    <row r="605" spans="1:6" x14ac:dyDescent="0.25">
      <c r="A605" s="87" t="s">
        <v>70</v>
      </c>
      <c r="B605" s="128">
        <v>46197</v>
      </c>
      <c r="C605" s="127"/>
      <c r="D605" s="50"/>
      <c r="E605" s="58">
        <f>+B605+C605+D605</f>
        <v>46197</v>
      </c>
    </row>
    <row r="606" spans="1:6" x14ac:dyDescent="0.25">
      <c r="A606" s="59" t="s">
        <v>36</v>
      </c>
      <c r="B606" s="77">
        <v>6197</v>
      </c>
      <c r="C606" s="77"/>
      <c r="D606" s="58"/>
      <c r="E606" s="58">
        <f t="shared" si="114"/>
        <v>6197</v>
      </c>
    </row>
    <row r="607" spans="1:6" x14ac:dyDescent="0.25">
      <c r="A607" s="59" t="s">
        <v>5</v>
      </c>
      <c r="B607" s="58"/>
      <c r="C607" s="58"/>
      <c r="D607" s="58"/>
      <c r="E607" s="58">
        <f t="shared" si="114"/>
        <v>0</v>
      </c>
      <c r="F607" s="36">
        <f>SUM(E578:E607)</f>
        <v>6642589.1400000006</v>
      </c>
    </row>
    <row r="608" spans="1:6" x14ac:dyDescent="0.25">
      <c r="F608" s="29" t="s">
        <v>75</v>
      </c>
    </row>
    <row r="609" spans="1:7" ht="18.75" x14ac:dyDescent="0.4">
      <c r="A609" s="32" t="s">
        <v>111</v>
      </c>
      <c r="B609" s="40"/>
      <c r="C609" s="40"/>
      <c r="D609" s="40"/>
      <c r="E609" s="51"/>
      <c r="F609" s="29"/>
    </row>
    <row r="610" spans="1:7" x14ac:dyDescent="0.25">
      <c r="A610" s="59"/>
      <c r="B610" s="58"/>
      <c r="C610" s="58"/>
      <c r="D610" s="58"/>
      <c r="E610" s="58">
        <f t="shared" ref="E610:E611" si="115">+B610+C610+D610</f>
        <v>0</v>
      </c>
      <c r="F610" s="29"/>
    </row>
    <row r="611" spans="1:7" x14ac:dyDescent="0.25">
      <c r="A611" s="59"/>
      <c r="B611" s="58"/>
      <c r="C611" s="58"/>
      <c r="D611" s="58"/>
      <c r="E611" s="58">
        <f t="shared" si="115"/>
        <v>0</v>
      </c>
      <c r="F611" s="29"/>
    </row>
    <row r="612" spans="1:7" ht="18.75" x14ac:dyDescent="0.4">
      <c r="A612" s="32" t="s">
        <v>112</v>
      </c>
      <c r="B612" s="40"/>
      <c r="C612" s="40"/>
      <c r="D612" s="40"/>
      <c r="E612" s="51"/>
      <c r="F612" s="29"/>
    </row>
    <row r="613" spans="1:7" x14ac:dyDescent="0.25">
      <c r="A613" s="60" t="s">
        <v>120</v>
      </c>
      <c r="B613" s="58">
        <v>39204</v>
      </c>
      <c r="C613" s="58"/>
      <c r="D613" s="58"/>
      <c r="E613" s="58">
        <f t="shared" ref="E613:E614" si="116">+B613+C613+D613</f>
        <v>39204</v>
      </c>
      <c r="F613" s="29"/>
    </row>
    <row r="614" spans="1:7" x14ac:dyDescent="0.25">
      <c r="A614" s="60" t="s">
        <v>75</v>
      </c>
      <c r="B614" s="61">
        <v>0</v>
      </c>
      <c r="C614" s="58"/>
      <c r="D614" s="58"/>
      <c r="E614" s="58">
        <f t="shared" si="116"/>
        <v>0</v>
      </c>
      <c r="F614" s="29"/>
    </row>
    <row r="615" spans="1:7" ht="18.75" x14ac:dyDescent="0.4">
      <c r="A615" s="34" t="s">
        <v>113</v>
      </c>
      <c r="B615" s="40"/>
      <c r="C615" s="40"/>
      <c r="D615" s="40"/>
      <c r="E615" s="51"/>
      <c r="F615" s="29"/>
    </row>
    <row r="616" spans="1:7" x14ac:dyDescent="0.25">
      <c r="A616" s="87" t="s">
        <v>127</v>
      </c>
      <c r="B616" s="58">
        <v>0</v>
      </c>
      <c r="C616" s="58">
        <v>92179.4</v>
      </c>
      <c r="D616" s="58"/>
      <c r="E616" s="58">
        <f t="shared" ref="E616" si="117">+B616+C616+D616</f>
        <v>92179.4</v>
      </c>
      <c r="F616" s="29"/>
    </row>
    <row r="617" spans="1:7" x14ac:dyDescent="0.25">
      <c r="A617" s="59" t="s">
        <v>128</v>
      </c>
      <c r="B617" s="58">
        <v>0</v>
      </c>
      <c r="C617" s="58">
        <v>13217</v>
      </c>
      <c r="D617" s="58"/>
      <c r="E617" s="58">
        <f t="shared" ref="E617" si="118">+B617+C617+D617</f>
        <v>13217</v>
      </c>
      <c r="F617" s="29">
        <f>SUM(E616:E617)</f>
        <v>105396.4</v>
      </c>
      <c r="G617" t="s">
        <v>75</v>
      </c>
    </row>
    <row r="618" spans="1:7" x14ac:dyDescent="0.25">
      <c r="F618" s="29">
        <f>SUM(F533:F616)</f>
        <v>9575844.1400000006</v>
      </c>
      <c r="G618">
        <f>5970035.9+144600</f>
        <v>6114635.9000000004</v>
      </c>
    </row>
    <row r="619" spans="1:7" x14ac:dyDescent="0.25">
      <c r="F619" s="29"/>
    </row>
    <row r="620" spans="1:7" ht="18.75" x14ac:dyDescent="0.4">
      <c r="A620" s="169" t="s">
        <v>103</v>
      </c>
      <c r="B620" s="169"/>
      <c r="C620" s="169"/>
      <c r="D620" s="169"/>
      <c r="E620" s="169"/>
      <c r="F620" s="69"/>
    </row>
    <row r="621" spans="1:7" x14ac:dyDescent="0.25">
      <c r="A621" s="2" t="s">
        <v>75</v>
      </c>
      <c r="B621" s="39"/>
      <c r="C621" s="48"/>
      <c r="D621" s="39"/>
      <c r="E621" s="39"/>
      <c r="F621" s="4"/>
    </row>
    <row r="622" spans="1:7" ht="30" x14ac:dyDescent="0.25">
      <c r="A622" s="33" t="s">
        <v>105</v>
      </c>
      <c r="B622" s="38" t="s">
        <v>106</v>
      </c>
      <c r="C622" s="38" t="s">
        <v>107</v>
      </c>
      <c r="D622" s="38" t="s">
        <v>108</v>
      </c>
      <c r="E622" s="38" t="s">
        <v>109</v>
      </c>
      <c r="F622" s="4"/>
    </row>
    <row r="623" spans="1:7" ht="18.75" x14ac:dyDescent="0.4">
      <c r="A623" s="32" t="s">
        <v>110</v>
      </c>
      <c r="B623" s="37">
        <f>SUM(B624:B661)</f>
        <v>995338.72000000009</v>
      </c>
      <c r="C623" s="37">
        <f t="shared" ref="C623:E623" si="119">SUM(C624:C661)</f>
        <v>359920.8</v>
      </c>
      <c r="D623" s="37">
        <f t="shared" si="119"/>
        <v>0</v>
      </c>
      <c r="E623" s="37">
        <f t="shared" si="119"/>
        <v>1355259.52</v>
      </c>
    </row>
    <row r="624" spans="1:7" x14ac:dyDescent="0.25">
      <c r="A624" s="59" t="s">
        <v>1</v>
      </c>
      <c r="B624" s="52">
        <f>59700-C624</f>
        <v>41062.910000000003</v>
      </c>
      <c r="C624" s="58">
        <v>18637.09</v>
      </c>
      <c r="D624" s="58"/>
      <c r="E624" s="58">
        <f t="shared" ref="E624:E651" si="120">+B624+C624+D624</f>
        <v>59700</v>
      </c>
      <c r="F624" s="4"/>
    </row>
    <row r="625" spans="1:6" x14ac:dyDescent="0.25">
      <c r="A625" s="59" t="s">
        <v>2</v>
      </c>
      <c r="B625" s="52">
        <v>1598</v>
      </c>
      <c r="C625" s="52"/>
      <c r="D625" s="58"/>
      <c r="E625" s="58">
        <f t="shared" si="120"/>
        <v>1598</v>
      </c>
      <c r="F625" s="8"/>
    </row>
    <row r="626" spans="1:6" x14ac:dyDescent="0.25">
      <c r="A626" s="59" t="s">
        <v>53</v>
      </c>
      <c r="B626" s="58">
        <v>7350</v>
      </c>
      <c r="C626" s="58"/>
      <c r="D626" s="58"/>
      <c r="E626" s="58">
        <f>+B626+C626+D626</f>
        <v>7350</v>
      </c>
      <c r="F626" s="8"/>
    </row>
    <row r="627" spans="1:6" x14ac:dyDescent="0.25">
      <c r="A627" s="59" t="s">
        <v>3</v>
      </c>
      <c r="B627" s="52">
        <f>100928-C627</f>
        <v>81548.98</v>
      </c>
      <c r="C627" s="52">
        <v>19379.02</v>
      </c>
      <c r="D627" s="58"/>
      <c r="E627" s="58">
        <f t="shared" si="120"/>
        <v>100928</v>
      </c>
      <c r="F627" s="8"/>
    </row>
    <row r="628" spans="1:6" x14ac:dyDescent="0.25">
      <c r="A628" s="59" t="s">
        <v>54</v>
      </c>
      <c r="B628" s="58">
        <v>71050</v>
      </c>
      <c r="C628" s="58"/>
      <c r="D628" s="58"/>
      <c r="E628" s="58">
        <f t="shared" si="120"/>
        <v>71050</v>
      </c>
    </row>
    <row r="629" spans="1:6" x14ac:dyDescent="0.25">
      <c r="A629" s="59" t="s">
        <v>18</v>
      </c>
      <c r="B629" s="58">
        <f>668800-C629</f>
        <v>517444.44</v>
      </c>
      <c r="C629" s="58">
        <v>151355.56</v>
      </c>
      <c r="D629" s="58"/>
      <c r="E629" s="58">
        <f t="shared" si="120"/>
        <v>668800</v>
      </c>
    </row>
    <row r="630" spans="1:6" x14ac:dyDescent="0.25">
      <c r="A630" s="59" t="s">
        <v>55</v>
      </c>
      <c r="B630" s="58">
        <v>14303.07</v>
      </c>
      <c r="C630" s="93">
        <v>10503.8</v>
      </c>
      <c r="D630" s="58"/>
      <c r="E630" s="58">
        <f t="shared" si="120"/>
        <v>24806.87</v>
      </c>
    </row>
    <row r="631" spans="1:6" x14ac:dyDescent="0.25">
      <c r="A631" s="59" t="s">
        <v>7</v>
      </c>
      <c r="B631" s="58">
        <v>7350</v>
      </c>
      <c r="C631" s="58"/>
      <c r="D631" s="58"/>
      <c r="E631" s="58">
        <f t="shared" si="120"/>
        <v>7350</v>
      </c>
    </row>
    <row r="632" spans="1:6" x14ac:dyDescent="0.25">
      <c r="A632" s="59" t="s">
        <v>56</v>
      </c>
      <c r="B632" s="58">
        <v>2450</v>
      </c>
      <c r="C632" s="58"/>
      <c r="D632" s="58"/>
      <c r="E632" s="58">
        <f t="shared" si="120"/>
        <v>2450</v>
      </c>
    </row>
    <row r="633" spans="1:6" x14ac:dyDescent="0.25">
      <c r="A633" s="59" t="s">
        <v>57</v>
      </c>
      <c r="B633" s="58">
        <v>245</v>
      </c>
      <c r="C633" s="58"/>
      <c r="D633" s="58"/>
      <c r="E633" s="58">
        <f t="shared" si="120"/>
        <v>245</v>
      </c>
    </row>
    <row r="634" spans="1:6" x14ac:dyDescent="0.25">
      <c r="A634" s="59" t="s">
        <v>58</v>
      </c>
      <c r="B634" s="58">
        <v>7840</v>
      </c>
      <c r="C634" s="58"/>
      <c r="D634" s="58"/>
      <c r="E634" s="58">
        <f t="shared" si="120"/>
        <v>7840</v>
      </c>
    </row>
    <row r="635" spans="1:6" x14ac:dyDescent="0.25">
      <c r="A635" s="59" t="s">
        <v>8</v>
      </c>
      <c r="B635" s="58">
        <v>9800</v>
      </c>
      <c r="C635" s="58"/>
      <c r="D635" s="58"/>
      <c r="E635" s="58">
        <f t="shared" si="120"/>
        <v>9800</v>
      </c>
    </row>
    <row r="636" spans="1:6" x14ac:dyDescent="0.25">
      <c r="A636" s="59" t="s">
        <v>59</v>
      </c>
      <c r="B636" s="58">
        <f>41714-C636</f>
        <v>37817</v>
      </c>
      <c r="C636" s="58">
        <v>3897</v>
      </c>
      <c r="D636" s="58"/>
      <c r="E636" s="58">
        <f t="shared" si="120"/>
        <v>41714</v>
      </c>
    </row>
    <row r="637" spans="1:6" x14ac:dyDescent="0.25">
      <c r="A637" s="59" t="s">
        <v>9</v>
      </c>
      <c r="B637" s="58">
        <v>7350</v>
      </c>
      <c r="C637" s="58"/>
      <c r="D637" s="58"/>
      <c r="E637" s="58">
        <f t="shared" si="120"/>
        <v>7350</v>
      </c>
    </row>
    <row r="638" spans="1:6" x14ac:dyDescent="0.25">
      <c r="A638" s="59" t="s">
        <v>60</v>
      </c>
      <c r="B638" s="58">
        <v>6769</v>
      </c>
      <c r="C638" s="58"/>
      <c r="D638" s="58"/>
      <c r="E638" s="58">
        <f t="shared" si="120"/>
        <v>6769</v>
      </c>
    </row>
    <row r="639" spans="1:6" x14ac:dyDescent="0.25">
      <c r="A639" s="59" t="s">
        <v>61</v>
      </c>
      <c r="B639" s="58">
        <v>4710.29</v>
      </c>
      <c r="C639" s="58">
        <v>3086.21</v>
      </c>
      <c r="D639" s="58"/>
      <c r="E639" s="58">
        <f t="shared" si="120"/>
        <v>7796.5</v>
      </c>
    </row>
    <row r="640" spans="1:6" x14ac:dyDescent="0.25">
      <c r="A640" s="59" t="s">
        <v>62</v>
      </c>
      <c r="B640" s="93">
        <v>5322.77</v>
      </c>
      <c r="C640" s="58">
        <v>20393.2</v>
      </c>
      <c r="D640" s="58"/>
      <c r="E640" s="58">
        <f t="shared" si="120"/>
        <v>25715.97</v>
      </c>
    </row>
    <row r="641" spans="1:8" x14ac:dyDescent="0.25">
      <c r="A641" s="59" t="s">
        <v>10</v>
      </c>
      <c r="B641" s="58">
        <v>107936.7</v>
      </c>
      <c r="C641" s="58">
        <v>22000</v>
      </c>
      <c r="D641" s="58"/>
      <c r="E641" s="58">
        <f t="shared" si="120"/>
        <v>129936.7</v>
      </c>
    </row>
    <row r="642" spans="1:8" x14ac:dyDescent="0.25">
      <c r="A642" s="59" t="s">
        <v>11</v>
      </c>
      <c r="B642" s="125">
        <v>13342.17</v>
      </c>
      <c r="C642" s="126">
        <v>48604</v>
      </c>
      <c r="D642" s="58"/>
      <c r="E642" s="58">
        <f t="shared" si="120"/>
        <v>61946.17</v>
      </c>
    </row>
    <row r="643" spans="1:8" x14ac:dyDescent="0.25">
      <c r="A643" s="59" t="s">
        <v>40</v>
      </c>
      <c r="B643" s="58">
        <v>1715</v>
      </c>
      <c r="C643" s="58"/>
      <c r="D643" s="58"/>
      <c r="E643" s="58">
        <f t="shared" si="120"/>
        <v>1715</v>
      </c>
    </row>
    <row r="644" spans="1:8" x14ac:dyDescent="0.25">
      <c r="A644" s="59" t="s">
        <v>63</v>
      </c>
      <c r="B644" s="58">
        <v>980</v>
      </c>
      <c r="C644" s="58"/>
      <c r="D644" s="58"/>
      <c r="E644" s="58">
        <f t="shared" si="120"/>
        <v>980</v>
      </c>
    </row>
    <row r="645" spans="1:8" x14ac:dyDescent="0.25">
      <c r="A645" s="59" t="s">
        <v>64</v>
      </c>
      <c r="B645" s="58">
        <v>2450</v>
      </c>
      <c r="C645" s="58"/>
      <c r="D645" s="58"/>
      <c r="E645" s="58">
        <f t="shared" si="120"/>
        <v>2450</v>
      </c>
    </row>
    <row r="646" spans="1:8" x14ac:dyDescent="0.25">
      <c r="A646" s="59" t="s">
        <v>12</v>
      </c>
      <c r="B646" s="58">
        <v>10780</v>
      </c>
      <c r="C646" s="58"/>
      <c r="D646" s="58"/>
      <c r="E646" s="58">
        <f t="shared" si="120"/>
        <v>10780</v>
      </c>
    </row>
    <row r="647" spans="1:8" x14ac:dyDescent="0.25">
      <c r="A647" s="59" t="s">
        <v>13</v>
      </c>
      <c r="B647" s="58">
        <v>2583</v>
      </c>
      <c r="C647" s="58"/>
      <c r="D647" s="58"/>
      <c r="E647" s="58">
        <f t="shared" si="120"/>
        <v>2583</v>
      </c>
    </row>
    <row r="648" spans="1:8" x14ac:dyDescent="0.25">
      <c r="A648" s="59" t="s">
        <v>172</v>
      </c>
      <c r="B648" s="93">
        <v>13740.39</v>
      </c>
      <c r="C648" s="58">
        <v>1939.8</v>
      </c>
      <c r="D648" s="58"/>
      <c r="E648" s="58">
        <f t="shared" si="120"/>
        <v>15680.189999999999</v>
      </c>
    </row>
    <row r="649" spans="1:8" x14ac:dyDescent="0.25">
      <c r="A649" s="117" t="s">
        <v>171</v>
      </c>
      <c r="B649" s="58">
        <v>11846</v>
      </c>
      <c r="C649" s="63"/>
      <c r="D649" s="58"/>
      <c r="E649" s="58">
        <f t="shared" si="120"/>
        <v>11846</v>
      </c>
    </row>
    <row r="650" spans="1:8" x14ac:dyDescent="0.25">
      <c r="A650" s="59" t="s">
        <v>36</v>
      </c>
      <c r="B650" s="58">
        <v>5954</v>
      </c>
      <c r="C650" s="58"/>
      <c r="D650" s="58"/>
      <c r="E650" s="58">
        <f t="shared" si="120"/>
        <v>5954</v>
      </c>
    </row>
    <row r="651" spans="1:8" x14ac:dyDescent="0.25">
      <c r="A651" s="59" t="s">
        <v>5</v>
      </c>
      <c r="B651" s="58"/>
      <c r="C651" s="58"/>
      <c r="D651" s="58"/>
      <c r="E651" s="58">
        <f t="shared" si="120"/>
        <v>0</v>
      </c>
      <c r="F651" s="36">
        <f>SUM(E624:E651)+F661</f>
        <v>1355259.52</v>
      </c>
      <c r="G651">
        <f>1127278.22+60125.12</f>
        <v>1187403.3400000001</v>
      </c>
      <c r="H651" s="36">
        <f>+F651-G651</f>
        <v>167856.17999999993</v>
      </c>
    </row>
    <row r="652" spans="1:8" x14ac:dyDescent="0.25">
      <c r="A652" s="9"/>
      <c r="B652" s="40"/>
      <c r="C652" s="40"/>
      <c r="D652" s="40"/>
      <c r="E652" s="51"/>
      <c r="F652" s="29" t="s">
        <v>75</v>
      </c>
    </row>
    <row r="653" spans="1:8" ht="18.75" x14ac:dyDescent="0.4">
      <c r="A653" s="32" t="s">
        <v>111</v>
      </c>
      <c r="B653" s="40"/>
      <c r="C653" s="40"/>
      <c r="D653" s="40"/>
      <c r="E653" s="51"/>
      <c r="F653" s="29"/>
    </row>
    <row r="654" spans="1:8" x14ac:dyDescent="0.25">
      <c r="A654" s="59"/>
      <c r="B654" s="58"/>
      <c r="C654" s="58"/>
      <c r="D654" s="58"/>
      <c r="E654" s="58">
        <f t="shared" ref="E654:E655" si="121">+B654+C654+D654</f>
        <v>0</v>
      </c>
      <c r="F654" s="29"/>
    </row>
    <row r="655" spans="1:8" x14ac:dyDescent="0.25">
      <c r="A655" s="59"/>
      <c r="B655" s="58"/>
      <c r="C655" s="58"/>
      <c r="D655" s="58"/>
      <c r="E655" s="58">
        <f t="shared" si="121"/>
        <v>0</v>
      </c>
      <c r="F655" s="29"/>
    </row>
    <row r="656" spans="1:8" ht="18.75" x14ac:dyDescent="0.4">
      <c r="A656" s="32" t="s">
        <v>112</v>
      </c>
      <c r="B656" s="40"/>
      <c r="C656" s="40"/>
      <c r="D656" s="40"/>
      <c r="E656" s="51"/>
      <c r="F656" s="29"/>
    </row>
    <row r="657" spans="1:35" x14ac:dyDescent="0.25">
      <c r="A657" s="60" t="s">
        <v>124</v>
      </c>
      <c r="B657" s="58">
        <v>0</v>
      </c>
      <c r="C657" s="58"/>
      <c r="D657" s="58"/>
      <c r="E657" s="58">
        <f t="shared" ref="E657:E658" si="122">+B657+C657+D657</f>
        <v>0</v>
      </c>
      <c r="F657" s="29"/>
    </row>
    <row r="658" spans="1:35" x14ac:dyDescent="0.25">
      <c r="A658" s="60" t="s">
        <v>75</v>
      </c>
      <c r="B658" s="61">
        <v>0</v>
      </c>
      <c r="C658" s="58"/>
      <c r="D658" s="58"/>
      <c r="E658" s="58">
        <f t="shared" si="122"/>
        <v>0</v>
      </c>
      <c r="F658" s="29"/>
    </row>
    <row r="659" spans="1:35" ht="18.75" x14ac:dyDescent="0.4">
      <c r="A659" s="34" t="s">
        <v>113</v>
      </c>
      <c r="B659" s="40"/>
      <c r="C659" s="40"/>
      <c r="D659" s="40"/>
      <c r="E659" s="51"/>
      <c r="F659" s="29"/>
    </row>
    <row r="660" spans="1:35" x14ac:dyDescent="0.25">
      <c r="A660" s="92" t="s">
        <v>131</v>
      </c>
      <c r="B660" s="58">
        <v>0</v>
      </c>
      <c r="C660" s="58">
        <v>12992</v>
      </c>
      <c r="D660" s="58"/>
      <c r="E660" s="58">
        <f t="shared" ref="E660:E661" si="123">+B660+C660+D660</f>
        <v>12992</v>
      </c>
      <c r="F660" s="29"/>
    </row>
    <row r="661" spans="1:35" x14ac:dyDescent="0.25">
      <c r="A661" s="59" t="s">
        <v>128</v>
      </c>
      <c r="B661" s="58">
        <v>0</v>
      </c>
      <c r="C661" s="58">
        <v>47133.120000000003</v>
      </c>
      <c r="D661" s="58"/>
      <c r="E661" s="58">
        <f t="shared" si="123"/>
        <v>47133.120000000003</v>
      </c>
      <c r="F661" s="29">
        <f>SUM(E660:E661)</f>
        <v>60125.120000000003</v>
      </c>
    </row>
    <row r="662" spans="1:35" x14ac:dyDescent="0.25">
      <c r="F662" s="29"/>
    </row>
    <row r="663" spans="1:35" x14ac:dyDescent="0.25">
      <c r="F663" s="29"/>
    </row>
    <row r="664" spans="1:35" ht="15.75" x14ac:dyDescent="0.3">
      <c r="A664" s="186" t="s">
        <v>76</v>
      </c>
      <c r="B664" s="186"/>
      <c r="C664" s="186"/>
      <c r="D664" s="186"/>
      <c r="E664" s="186"/>
      <c r="F664" s="83"/>
      <c r="G664" s="83"/>
    </row>
    <row r="666" spans="1:35" ht="30" x14ac:dyDescent="0.25">
      <c r="A666" s="33" t="s">
        <v>105</v>
      </c>
      <c r="B666" s="38" t="s">
        <v>106</v>
      </c>
      <c r="C666" s="38" t="s">
        <v>107</v>
      </c>
      <c r="D666" s="38" t="s">
        <v>108</v>
      </c>
      <c r="E666" s="38" t="s">
        <v>109</v>
      </c>
    </row>
    <row r="667" spans="1:35" ht="18.75" x14ac:dyDescent="0.4">
      <c r="A667" s="32" t="s">
        <v>110</v>
      </c>
      <c r="B667" s="37">
        <f>SUM(B668:B691)</f>
        <v>320017</v>
      </c>
      <c r="C667" s="37">
        <f t="shared" ref="C667:E667" si="124">SUM(C668:C691)</f>
        <v>0</v>
      </c>
      <c r="D667" s="37">
        <f t="shared" si="124"/>
        <v>0</v>
      </c>
      <c r="E667" s="37">
        <f t="shared" si="124"/>
        <v>320017</v>
      </c>
    </row>
    <row r="668" spans="1:35" s="3" customFormat="1" ht="11.25" customHeight="1" x14ac:dyDescent="0.15">
      <c r="A668" s="59" t="s">
        <v>1</v>
      </c>
      <c r="B668" s="52">
        <v>18624</v>
      </c>
      <c r="C668" s="58"/>
      <c r="D668" s="58"/>
      <c r="E668" s="58">
        <f t="shared" ref="E668:E682" si="125">+B668+C668+D668</f>
        <v>18624</v>
      </c>
      <c r="F668" s="4"/>
      <c r="G668" s="4"/>
      <c r="I668" s="4"/>
      <c r="K668" s="4"/>
      <c r="M668" s="4"/>
      <c r="O668" s="4"/>
      <c r="Q668" s="4"/>
      <c r="S668" s="4"/>
      <c r="U668" s="4"/>
      <c r="W668" s="4"/>
      <c r="Y668" s="4"/>
      <c r="AA668" s="4"/>
      <c r="AC668" s="4"/>
      <c r="AE668" s="4"/>
      <c r="AG668" s="4"/>
    </row>
    <row r="669" spans="1:35" s="3" customFormat="1" ht="11.25" customHeight="1" x14ac:dyDescent="0.15">
      <c r="A669" s="59" t="s">
        <v>2</v>
      </c>
      <c r="B669" s="52">
        <v>14160</v>
      </c>
      <c r="C669" s="52"/>
      <c r="D669" s="58"/>
      <c r="E669" s="58">
        <f t="shared" si="125"/>
        <v>14160</v>
      </c>
      <c r="F669" s="8"/>
      <c r="G669" s="8"/>
      <c r="H669" s="9"/>
      <c r="I669" s="8"/>
      <c r="J669" s="7"/>
      <c r="K669" s="8"/>
      <c r="L669" s="7"/>
      <c r="M669" s="8"/>
      <c r="N669" s="7"/>
      <c r="O669" s="8"/>
      <c r="P669" s="7"/>
      <c r="Q669" s="8"/>
      <c r="R669" s="7"/>
      <c r="S669" s="8"/>
      <c r="T669" s="7"/>
      <c r="U669" s="8"/>
      <c r="V669" s="7"/>
      <c r="W669" s="8"/>
      <c r="X669" s="7"/>
      <c r="Y669" s="8"/>
      <c r="Z669" s="7"/>
      <c r="AA669" s="8"/>
      <c r="AB669" s="7"/>
      <c r="AC669" s="8"/>
      <c r="AD669" s="7"/>
      <c r="AE669" s="8"/>
      <c r="AF669" s="7"/>
      <c r="AG669" s="8"/>
      <c r="AH669" s="7"/>
    </row>
    <row r="670" spans="1:35" s="3" customFormat="1" ht="11.25" customHeight="1" x14ac:dyDescent="0.15">
      <c r="A670" s="59" t="s">
        <v>3</v>
      </c>
      <c r="B670" s="52">
        <v>2980</v>
      </c>
      <c r="C670" s="52"/>
      <c r="D670" s="58"/>
      <c r="E670" s="58">
        <f t="shared" si="125"/>
        <v>2980</v>
      </c>
      <c r="F670" s="8"/>
      <c r="G670" s="8"/>
      <c r="H670" s="9"/>
      <c r="I670" s="8"/>
      <c r="J670" s="7"/>
      <c r="K670" s="8"/>
      <c r="L670" s="7"/>
      <c r="M670" s="8"/>
      <c r="N670" s="7"/>
      <c r="O670" s="8"/>
      <c r="P670" s="7"/>
      <c r="Q670" s="8"/>
      <c r="R670" s="7"/>
      <c r="S670" s="8"/>
      <c r="T670" s="7"/>
      <c r="U670" s="8"/>
      <c r="V670" s="7"/>
      <c r="W670" s="8"/>
      <c r="X670" s="7"/>
      <c r="Y670" s="8"/>
      <c r="Z670" s="7"/>
      <c r="AA670" s="8"/>
      <c r="AB670" s="7"/>
      <c r="AC670" s="8"/>
      <c r="AD670" s="7"/>
      <c r="AE670" s="8"/>
      <c r="AF670" s="7"/>
      <c r="AG670" s="8"/>
      <c r="AH670" s="7"/>
    </row>
    <row r="671" spans="1:35" s="3" customFormat="1" ht="11.25" customHeight="1" x14ac:dyDescent="0.15">
      <c r="A671" s="87" t="s">
        <v>77</v>
      </c>
      <c r="B671" s="52">
        <v>5280</v>
      </c>
      <c r="C671" s="50"/>
      <c r="D671" s="50"/>
      <c r="E671" s="58">
        <f t="shared" si="125"/>
        <v>5280</v>
      </c>
      <c r="F671" s="8"/>
      <c r="G671" s="8"/>
      <c r="H671" s="9"/>
      <c r="I671" s="8"/>
      <c r="J671" s="7"/>
      <c r="K671" s="8"/>
      <c r="L671" s="7"/>
      <c r="M671" s="8"/>
      <c r="N671" s="7"/>
      <c r="O671" s="8"/>
      <c r="P671" s="7"/>
      <c r="Q671" s="8"/>
      <c r="R671" s="7"/>
      <c r="S671" s="8"/>
      <c r="T671" s="7"/>
      <c r="U671" s="8"/>
      <c r="V671" s="7"/>
      <c r="W671" s="8"/>
      <c r="X671" s="7"/>
      <c r="Y671" s="8"/>
      <c r="Z671" s="7"/>
      <c r="AA671" s="8"/>
      <c r="AB671" s="7"/>
      <c r="AC671" s="8"/>
      <c r="AD671" s="7"/>
      <c r="AE671" s="8"/>
      <c r="AF671" s="7"/>
      <c r="AG671" s="8"/>
      <c r="AH671" s="7"/>
      <c r="AI671" s="9"/>
    </row>
    <row r="672" spans="1:35" s="3" customFormat="1" ht="11.25" customHeight="1" x14ac:dyDescent="0.15">
      <c r="A672" s="59" t="s">
        <v>66</v>
      </c>
      <c r="B672" s="52">
        <v>21185</v>
      </c>
      <c r="C672" s="52"/>
      <c r="D672" s="58"/>
      <c r="E672" s="58">
        <f t="shared" si="125"/>
        <v>21185</v>
      </c>
      <c r="F672" s="8"/>
      <c r="G672" s="8"/>
      <c r="H672" s="9"/>
      <c r="I672" s="8"/>
      <c r="J672" s="7"/>
      <c r="K672" s="8"/>
      <c r="L672" s="7"/>
      <c r="M672" s="8"/>
      <c r="N672" s="7"/>
      <c r="O672" s="8"/>
      <c r="P672" s="7"/>
      <c r="Q672" s="8"/>
      <c r="R672" s="7"/>
      <c r="S672" s="8"/>
      <c r="T672" s="7"/>
      <c r="U672" s="8"/>
      <c r="V672" s="7"/>
      <c r="W672" s="8"/>
      <c r="X672" s="7"/>
      <c r="Y672" s="8"/>
      <c r="Z672" s="7"/>
      <c r="AA672" s="8"/>
      <c r="AB672" s="7"/>
      <c r="AC672" s="8"/>
      <c r="AD672" s="7"/>
      <c r="AE672" s="8"/>
      <c r="AF672" s="7"/>
      <c r="AG672" s="8"/>
      <c r="AH672" s="7"/>
    </row>
    <row r="673" spans="1:34" s="3" customFormat="1" ht="11.25" customHeight="1" x14ac:dyDescent="0.15">
      <c r="A673" s="59" t="s">
        <v>67</v>
      </c>
      <c r="B673" s="52">
        <v>8400</v>
      </c>
      <c r="C673" s="52"/>
      <c r="D673" s="58"/>
      <c r="E673" s="58">
        <f t="shared" si="125"/>
        <v>8400</v>
      </c>
      <c r="F673" s="8"/>
      <c r="G673" s="8"/>
      <c r="H673" s="9"/>
      <c r="I673" s="8"/>
      <c r="J673" s="7"/>
      <c r="K673" s="8"/>
      <c r="L673" s="7"/>
      <c r="M673" s="8"/>
      <c r="N673" s="7"/>
      <c r="O673" s="8"/>
      <c r="P673" s="7"/>
      <c r="Q673" s="8"/>
      <c r="R673" s="7"/>
      <c r="S673" s="8"/>
      <c r="T673" s="7"/>
      <c r="U673" s="8"/>
      <c r="V673" s="7"/>
      <c r="W673" s="8"/>
      <c r="X673" s="7"/>
      <c r="Y673" s="8"/>
      <c r="Z673" s="7"/>
      <c r="AA673" s="8"/>
      <c r="AB673" s="7"/>
      <c r="AC673" s="8"/>
      <c r="AD673" s="7"/>
      <c r="AE673" s="8"/>
      <c r="AF673" s="7"/>
      <c r="AG673" s="8"/>
      <c r="AH673" s="7"/>
    </row>
    <row r="674" spans="1:34" s="2" customFormat="1" ht="11.25" customHeight="1" x14ac:dyDescent="0.15">
      <c r="A674" s="87" t="s">
        <v>68</v>
      </c>
      <c r="B674" s="52">
        <v>44155</v>
      </c>
      <c r="C674" s="50"/>
      <c r="D674" s="50"/>
      <c r="E674" s="58">
        <f t="shared" si="125"/>
        <v>44155</v>
      </c>
      <c r="F674" s="8"/>
      <c r="G674" s="8"/>
      <c r="H674" s="9"/>
      <c r="I674" s="8"/>
      <c r="J674" s="7"/>
      <c r="K674" s="8"/>
      <c r="L674" s="7"/>
      <c r="M674" s="8"/>
      <c r="N674" s="7"/>
      <c r="O674" s="8"/>
      <c r="P674" s="7"/>
      <c r="Q674" s="8"/>
      <c r="R674" s="7"/>
      <c r="S674" s="8"/>
      <c r="T674" s="7"/>
      <c r="U674" s="8"/>
      <c r="V674" s="7"/>
      <c r="W674" s="8"/>
      <c r="X674" s="7"/>
      <c r="Y674" s="8"/>
      <c r="Z674" s="7"/>
      <c r="AA674" s="8"/>
      <c r="AB674" s="7"/>
      <c r="AC674" s="8"/>
      <c r="AD674" s="7"/>
      <c r="AE674" s="8"/>
      <c r="AF674" s="7"/>
      <c r="AG674" s="8"/>
      <c r="AH674" s="7"/>
    </row>
    <row r="675" spans="1:34" s="3" customFormat="1" ht="11.25" customHeight="1" x14ac:dyDescent="0.15">
      <c r="A675" s="59" t="s">
        <v>69</v>
      </c>
      <c r="B675" s="52">
        <v>15600</v>
      </c>
      <c r="C675" s="52"/>
      <c r="D675" s="58"/>
      <c r="E675" s="58">
        <f t="shared" si="125"/>
        <v>15600</v>
      </c>
      <c r="F675" s="8"/>
      <c r="G675" s="8"/>
      <c r="H675" s="9"/>
      <c r="I675" s="8"/>
      <c r="J675" s="7"/>
      <c r="K675" s="8"/>
      <c r="L675" s="7"/>
      <c r="M675" s="8"/>
      <c r="N675" s="7"/>
      <c r="O675" s="8"/>
      <c r="P675" s="7"/>
      <c r="Q675" s="8"/>
      <c r="R675" s="7"/>
      <c r="S675" s="8"/>
      <c r="T675" s="7"/>
      <c r="U675" s="8"/>
      <c r="V675" s="7"/>
      <c r="W675" s="8"/>
      <c r="X675" s="7"/>
      <c r="Y675" s="8"/>
      <c r="Z675" s="7"/>
      <c r="AA675" s="8"/>
      <c r="AB675" s="7"/>
      <c r="AC675" s="8"/>
      <c r="AD675" s="7"/>
      <c r="AE675" s="8"/>
      <c r="AF675" s="7"/>
      <c r="AG675" s="8"/>
      <c r="AH675" s="7"/>
    </row>
    <row r="676" spans="1:34" s="3" customFormat="1" ht="11.25" customHeight="1" x14ac:dyDescent="0.15">
      <c r="A676" s="87" t="s">
        <v>70</v>
      </c>
      <c r="B676" s="52">
        <v>39891</v>
      </c>
      <c r="C676" s="50"/>
      <c r="D676" s="50"/>
      <c r="E676" s="58">
        <f t="shared" si="125"/>
        <v>39891</v>
      </c>
      <c r="F676" s="8"/>
      <c r="G676" s="8"/>
      <c r="H676" s="9"/>
      <c r="I676" s="8"/>
      <c r="J676" s="7"/>
      <c r="K676" s="11"/>
      <c r="L676" s="7"/>
      <c r="M676" s="11"/>
      <c r="N676" s="7"/>
      <c r="O676" s="11"/>
      <c r="P676" s="7"/>
      <c r="Q676" s="11"/>
      <c r="R676" s="7"/>
      <c r="S676" s="11"/>
      <c r="T676" s="7"/>
      <c r="U676" s="11"/>
      <c r="V676" s="7"/>
      <c r="W676" s="11"/>
      <c r="X676" s="7"/>
      <c r="Y676" s="11"/>
      <c r="Z676" s="7"/>
      <c r="AA676" s="11"/>
      <c r="AB676" s="7"/>
      <c r="AC676" s="11"/>
      <c r="AD676" s="7"/>
      <c r="AE676" s="11"/>
      <c r="AF676" s="7"/>
      <c r="AG676" s="11"/>
      <c r="AH676" s="9"/>
    </row>
    <row r="677" spans="1:34" x14ac:dyDescent="0.25">
      <c r="A677" s="59" t="s">
        <v>6</v>
      </c>
      <c r="B677" s="67">
        <v>2400</v>
      </c>
      <c r="C677" s="58"/>
      <c r="D677" s="58"/>
      <c r="E677" s="58">
        <f t="shared" si="125"/>
        <v>2400</v>
      </c>
    </row>
    <row r="678" spans="1:34" x14ac:dyDescent="0.25">
      <c r="A678" s="59" t="s">
        <v>19</v>
      </c>
      <c r="B678" s="67">
        <v>360</v>
      </c>
      <c r="C678" s="58"/>
      <c r="D678" s="58"/>
      <c r="E678" s="58">
        <f t="shared" si="125"/>
        <v>360</v>
      </c>
    </row>
    <row r="679" spans="1:34" x14ac:dyDescent="0.25">
      <c r="A679" s="59" t="s">
        <v>10</v>
      </c>
      <c r="B679" s="67">
        <v>104640</v>
      </c>
      <c r="C679" s="58"/>
      <c r="D679" s="58"/>
      <c r="E679" s="58">
        <f t="shared" si="125"/>
        <v>104640</v>
      </c>
    </row>
    <row r="680" spans="1:34" x14ac:dyDescent="0.25">
      <c r="A680" s="59" t="s">
        <v>12</v>
      </c>
      <c r="B680" s="67">
        <v>19200</v>
      </c>
      <c r="C680" s="58"/>
      <c r="D680" s="58"/>
      <c r="E680" s="58">
        <f t="shared" si="125"/>
        <v>19200</v>
      </c>
    </row>
    <row r="681" spans="1:34" x14ac:dyDescent="0.25">
      <c r="A681" s="59" t="s">
        <v>78</v>
      </c>
      <c r="B681" s="67">
        <v>23142</v>
      </c>
      <c r="C681" s="58"/>
      <c r="D681" s="58"/>
      <c r="E681" s="58">
        <f t="shared" si="125"/>
        <v>23142</v>
      </c>
    </row>
    <row r="682" spans="1:34" x14ac:dyDescent="0.25">
      <c r="A682" s="59" t="s">
        <v>5</v>
      </c>
      <c r="B682" s="58"/>
      <c r="C682" s="58"/>
      <c r="D682" s="58"/>
      <c r="E682" s="58">
        <f t="shared" si="125"/>
        <v>0</v>
      </c>
      <c r="F682" s="36">
        <f>SUM(E668:E682)</f>
        <v>320017</v>
      </c>
    </row>
    <row r="683" spans="1:34" x14ac:dyDescent="0.25">
      <c r="F683" s="29" t="s">
        <v>75</v>
      </c>
    </row>
    <row r="684" spans="1:34" ht="18.75" x14ac:dyDescent="0.4">
      <c r="A684" s="32" t="s">
        <v>111</v>
      </c>
      <c r="B684" s="40"/>
      <c r="C684" s="40"/>
      <c r="D684" s="40"/>
      <c r="E684" s="51"/>
      <c r="F684" s="29"/>
    </row>
    <row r="685" spans="1:34" x14ac:dyDescent="0.25">
      <c r="A685" s="59"/>
      <c r="B685" s="58"/>
      <c r="C685" s="58"/>
      <c r="D685" s="58"/>
      <c r="E685" s="58">
        <f t="shared" ref="E685:E686" si="126">+B685+C685+D685</f>
        <v>0</v>
      </c>
      <c r="F685" s="29"/>
    </row>
    <row r="686" spans="1:34" x14ac:dyDescent="0.25">
      <c r="A686" s="59"/>
      <c r="B686" s="58"/>
      <c r="C686" s="58"/>
      <c r="D686" s="58"/>
      <c r="E686" s="58">
        <f t="shared" si="126"/>
        <v>0</v>
      </c>
      <c r="F686" s="29"/>
    </row>
    <row r="687" spans="1:34" ht="18.75" x14ac:dyDescent="0.4">
      <c r="A687" s="32" t="s">
        <v>112</v>
      </c>
      <c r="B687" s="40"/>
      <c r="C687" s="40"/>
      <c r="D687" s="40"/>
      <c r="E687" s="51"/>
      <c r="F687" s="29"/>
    </row>
    <row r="688" spans="1:34" x14ac:dyDescent="0.25">
      <c r="A688" s="60" t="s">
        <v>124</v>
      </c>
      <c r="B688" s="58">
        <v>0</v>
      </c>
      <c r="C688" s="58"/>
      <c r="D688" s="58"/>
      <c r="E688" s="58">
        <f t="shared" ref="E688:E689" si="127">+B688+C688+D688</f>
        <v>0</v>
      </c>
      <c r="F688" s="29"/>
    </row>
    <row r="689" spans="1:34" x14ac:dyDescent="0.25">
      <c r="A689" s="60" t="s">
        <v>75</v>
      </c>
      <c r="B689" s="61">
        <v>0</v>
      </c>
      <c r="C689" s="58"/>
      <c r="D689" s="58"/>
      <c r="E689" s="58">
        <f t="shared" si="127"/>
        <v>0</v>
      </c>
      <c r="F689" s="29"/>
    </row>
    <row r="690" spans="1:34" ht="18.75" x14ac:dyDescent="0.4">
      <c r="A690" s="34" t="s">
        <v>113</v>
      </c>
      <c r="B690" s="40"/>
      <c r="C690" s="40"/>
      <c r="D690" s="40"/>
      <c r="E690" s="51"/>
      <c r="F690" s="29"/>
    </row>
    <row r="691" spans="1:34" x14ac:dyDescent="0.25">
      <c r="A691" s="59"/>
      <c r="B691" s="58"/>
      <c r="C691" s="58"/>
      <c r="D691" s="58"/>
      <c r="E691" s="58">
        <f t="shared" ref="E691" si="128">+B691+C691+D691</f>
        <v>0</v>
      </c>
      <c r="F691" s="29"/>
    </row>
    <row r="692" spans="1:34" x14ac:dyDescent="0.25">
      <c r="F692" s="29"/>
    </row>
    <row r="693" spans="1:34" x14ac:dyDescent="0.25">
      <c r="F693" s="29"/>
    </row>
    <row r="694" spans="1:34" ht="18.75" x14ac:dyDescent="0.4">
      <c r="A694" s="168" t="s">
        <v>79</v>
      </c>
      <c r="B694" s="168"/>
      <c r="C694" s="168"/>
      <c r="D694" s="168"/>
      <c r="E694" s="168"/>
      <c r="F694" s="84"/>
      <c r="G694" s="84"/>
    </row>
    <row r="696" spans="1:34" ht="30" x14ac:dyDescent="0.25">
      <c r="A696" s="33" t="s">
        <v>105</v>
      </c>
      <c r="B696" s="38" t="s">
        <v>106</v>
      </c>
      <c r="C696" s="38" t="s">
        <v>107</v>
      </c>
      <c r="D696" s="38" t="s">
        <v>108</v>
      </c>
      <c r="E696" s="38" t="s">
        <v>109</v>
      </c>
    </row>
    <row r="697" spans="1:34" ht="18.75" x14ac:dyDescent="0.4">
      <c r="A697" s="32" t="s">
        <v>110</v>
      </c>
      <c r="B697" s="37">
        <f>SUM(B698:B726)</f>
        <v>2655147.27</v>
      </c>
      <c r="C697" s="134">
        <f t="shared" ref="C697:E697" si="129">SUM(C698:C726)</f>
        <v>2026999.5</v>
      </c>
      <c r="D697" s="37">
        <f t="shared" si="129"/>
        <v>0</v>
      </c>
      <c r="E697" s="37">
        <f t="shared" si="129"/>
        <v>4682146.7700000005</v>
      </c>
    </row>
    <row r="698" spans="1:34" s="3" customFormat="1" ht="11.25" customHeight="1" x14ac:dyDescent="0.2">
      <c r="A698" s="59" t="s">
        <v>1</v>
      </c>
      <c r="B698" s="52">
        <v>73621</v>
      </c>
      <c r="C698" s="130">
        <v>408527.62</v>
      </c>
      <c r="D698" s="58"/>
      <c r="E698" s="58">
        <f>+B698+C698+D698</f>
        <v>482148.62</v>
      </c>
      <c r="F698" s="4"/>
      <c r="G698" s="4"/>
      <c r="I698" s="4"/>
      <c r="K698" s="4"/>
      <c r="M698" s="4"/>
      <c r="O698" s="4"/>
      <c r="Q698" s="4"/>
      <c r="S698" s="4"/>
      <c r="U698" s="4"/>
      <c r="W698" s="4"/>
      <c r="Y698" s="4"/>
      <c r="AA698" s="4"/>
      <c r="AC698" s="4"/>
      <c r="AE698" s="4"/>
      <c r="AG698" s="4"/>
    </row>
    <row r="699" spans="1:34" s="3" customFormat="1" ht="11.25" customHeight="1" x14ac:dyDescent="0.15">
      <c r="A699" s="59" t="s">
        <v>3</v>
      </c>
      <c r="B699" s="52">
        <v>148850</v>
      </c>
      <c r="C699" s="120">
        <v>2000</v>
      </c>
      <c r="D699" s="58"/>
      <c r="E699" s="58">
        <f t="shared" ref="E699:E713" si="130">+B699+C699+D699</f>
        <v>150850</v>
      </c>
      <c r="F699" s="8"/>
      <c r="G699" s="8"/>
      <c r="H699" s="9"/>
      <c r="I699" s="8"/>
      <c r="J699" s="7"/>
      <c r="K699" s="8"/>
      <c r="L699" s="7"/>
      <c r="M699" s="8"/>
      <c r="N699" s="7"/>
      <c r="O699" s="8"/>
      <c r="P699" s="7"/>
      <c r="Q699" s="8"/>
      <c r="R699" s="7"/>
      <c r="S699" s="8"/>
      <c r="T699" s="7"/>
      <c r="U699" s="8"/>
      <c r="V699" s="7"/>
      <c r="W699" s="8"/>
      <c r="X699" s="7"/>
      <c r="Y699" s="8"/>
      <c r="Z699" s="7"/>
      <c r="AA699" s="8"/>
      <c r="AB699" s="7"/>
      <c r="AC699" s="8"/>
      <c r="AD699" s="7"/>
      <c r="AE699" s="8"/>
      <c r="AF699" s="7"/>
      <c r="AG699" s="8"/>
      <c r="AH699" s="7"/>
    </row>
    <row r="700" spans="1:34" s="3" customFormat="1" ht="11.25" customHeight="1" x14ac:dyDescent="0.15">
      <c r="A700" s="59" t="s">
        <v>67</v>
      </c>
      <c r="B700" s="52">
        <v>137797</v>
      </c>
      <c r="C700" s="120"/>
      <c r="D700" s="58"/>
      <c r="E700" s="58">
        <f t="shared" si="130"/>
        <v>137797</v>
      </c>
      <c r="F700" s="8"/>
      <c r="G700" s="8"/>
      <c r="H700" s="9"/>
      <c r="I700" s="8"/>
      <c r="J700" s="7"/>
      <c r="K700" s="8"/>
      <c r="L700" s="7"/>
      <c r="M700" s="8"/>
      <c r="N700" s="7"/>
      <c r="O700" s="8"/>
      <c r="P700" s="7"/>
      <c r="Q700" s="8"/>
      <c r="R700" s="7"/>
      <c r="S700" s="8"/>
      <c r="T700" s="7"/>
      <c r="U700" s="8"/>
      <c r="V700" s="7"/>
      <c r="W700" s="8"/>
      <c r="X700" s="7"/>
      <c r="Y700" s="8"/>
      <c r="Z700" s="7"/>
      <c r="AA700" s="8"/>
      <c r="AB700" s="7"/>
      <c r="AC700" s="8"/>
      <c r="AD700" s="7"/>
      <c r="AE700" s="8"/>
      <c r="AF700" s="7"/>
      <c r="AG700" s="8"/>
      <c r="AH700" s="7"/>
    </row>
    <row r="701" spans="1:34" x14ac:dyDescent="0.25">
      <c r="A701" s="59" t="s">
        <v>6</v>
      </c>
      <c r="B701" s="67">
        <f>7969-C701</f>
        <v>6522.23</v>
      </c>
      <c r="C701" s="131">
        <v>1446.77</v>
      </c>
      <c r="D701" s="58"/>
      <c r="E701" s="58">
        <f t="shared" si="130"/>
        <v>7969</v>
      </c>
    </row>
    <row r="702" spans="1:34" x14ac:dyDescent="0.25">
      <c r="A702" s="59" t="s">
        <v>19</v>
      </c>
      <c r="B702" s="67">
        <f>35993-C702</f>
        <v>34693</v>
      </c>
      <c r="C702" s="121">
        <v>1300</v>
      </c>
      <c r="D702" s="58"/>
      <c r="E702" s="58">
        <f t="shared" si="130"/>
        <v>35993</v>
      </c>
    </row>
    <row r="703" spans="1:34" x14ac:dyDescent="0.25">
      <c r="A703" s="59" t="s">
        <v>156</v>
      </c>
      <c r="B703" s="67">
        <f>1455505.44-C703</f>
        <v>1454216.44</v>
      </c>
      <c r="C703" s="121">
        <v>1289</v>
      </c>
      <c r="D703" s="58"/>
      <c r="E703" s="58">
        <f t="shared" si="130"/>
        <v>1455505.44</v>
      </c>
    </row>
    <row r="704" spans="1:34" x14ac:dyDescent="0.25">
      <c r="A704" s="59" t="s">
        <v>21</v>
      </c>
      <c r="B704" s="67">
        <v>5280</v>
      </c>
      <c r="C704" s="121"/>
      <c r="D704" s="58"/>
      <c r="E704" s="58">
        <f t="shared" si="130"/>
        <v>5280</v>
      </c>
    </row>
    <row r="705" spans="1:6" x14ac:dyDescent="0.25">
      <c r="A705" s="59" t="s">
        <v>80</v>
      </c>
      <c r="B705" s="67">
        <v>122030</v>
      </c>
      <c r="C705" s="121"/>
      <c r="D705" s="58"/>
      <c r="E705" s="58">
        <f t="shared" si="130"/>
        <v>122030</v>
      </c>
    </row>
    <row r="706" spans="1:6" x14ac:dyDescent="0.25">
      <c r="A706" s="59" t="s">
        <v>73</v>
      </c>
      <c r="B706" s="67">
        <v>80004</v>
      </c>
      <c r="C706" s="121"/>
      <c r="D706" s="58"/>
      <c r="E706" s="58">
        <f t="shared" si="130"/>
        <v>80004</v>
      </c>
    </row>
    <row r="707" spans="1:6" x14ac:dyDescent="0.25">
      <c r="A707" s="59" t="s">
        <v>62</v>
      </c>
      <c r="B707" s="67">
        <f>185221-C707</f>
        <v>150785.39000000001</v>
      </c>
      <c r="C707" s="131">
        <v>34435.61</v>
      </c>
      <c r="D707" s="58"/>
      <c r="E707" s="58">
        <f t="shared" si="130"/>
        <v>185221</v>
      </c>
    </row>
    <row r="708" spans="1:6" x14ac:dyDescent="0.25">
      <c r="A708" s="59" t="s">
        <v>10</v>
      </c>
      <c r="B708" s="67">
        <f>410976-C708</f>
        <v>320971</v>
      </c>
      <c r="C708" s="121">
        <v>90005</v>
      </c>
      <c r="D708" s="58"/>
      <c r="E708" s="58">
        <f t="shared" si="130"/>
        <v>410976</v>
      </c>
    </row>
    <row r="709" spans="1:6" x14ac:dyDescent="0.25">
      <c r="A709" s="59" t="s">
        <v>12</v>
      </c>
      <c r="B709" s="67">
        <v>20272</v>
      </c>
      <c r="C709" s="121">
        <v>8967</v>
      </c>
      <c r="D709" s="58"/>
      <c r="E709" s="58">
        <f t="shared" si="130"/>
        <v>29239</v>
      </c>
    </row>
    <row r="710" spans="1:6" x14ac:dyDescent="0.25">
      <c r="A710" s="59" t="s">
        <v>13</v>
      </c>
      <c r="B710" s="67">
        <v>8576</v>
      </c>
      <c r="C710" s="121"/>
      <c r="D710" s="58"/>
      <c r="E710" s="58">
        <f t="shared" si="130"/>
        <v>8576</v>
      </c>
    </row>
    <row r="711" spans="1:6" x14ac:dyDescent="0.25">
      <c r="A711" s="59" t="s">
        <v>69</v>
      </c>
      <c r="B711" s="52">
        <f>25260-C711</f>
        <v>6607.2000000000007</v>
      </c>
      <c r="C711" s="131">
        <v>18652.8</v>
      </c>
      <c r="D711" s="58"/>
      <c r="E711" s="58">
        <f t="shared" si="130"/>
        <v>25260</v>
      </c>
    </row>
    <row r="712" spans="1:6" x14ac:dyDescent="0.25">
      <c r="A712" s="87" t="s">
        <v>70</v>
      </c>
      <c r="B712" s="52">
        <f>85128-C712</f>
        <v>81892.009999999995</v>
      </c>
      <c r="C712" s="131">
        <v>3235.99</v>
      </c>
      <c r="D712" s="58"/>
      <c r="E712" s="58">
        <f t="shared" si="130"/>
        <v>85128</v>
      </c>
    </row>
    <row r="713" spans="1:6" x14ac:dyDescent="0.25">
      <c r="A713" s="59" t="s">
        <v>36</v>
      </c>
      <c r="B713" s="67">
        <f>4200-C713</f>
        <v>3030</v>
      </c>
      <c r="C713" s="121">
        <v>1170</v>
      </c>
      <c r="D713" s="58"/>
      <c r="E713" s="58">
        <f t="shared" si="130"/>
        <v>4200</v>
      </c>
    </row>
    <row r="714" spans="1:6" x14ac:dyDescent="0.25">
      <c r="A714" s="59" t="s">
        <v>5</v>
      </c>
      <c r="B714" s="58"/>
      <c r="C714" s="121"/>
      <c r="D714" s="58"/>
      <c r="E714" s="58">
        <f t="shared" ref="E714" si="131">+B714+C714+D714</f>
        <v>0</v>
      </c>
    </row>
    <row r="715" spans="1:6" x14ac:dyDescent="0.25">
      <c r="A715" s="9"/>
      <c r="B715" s="40"/>
      <c r="C715" s="40"/>
      <c r="D715" s="40"/>
      <c r="E715" s="51"/>
      <c r="F715" s="29">
        <f>SUM(E699:E714)</f>
        <v>2744028.44</v>
      </c>
    </row>
    <row r="716" spans="1:6" ht="18.75" x14ac:dyDescent="0.4">
      <c r="A716" s="32" t="s">
        <v>111</v>
      </c>
      <c r="B716" s="40"/>
      <c r="C716" s="40"/>
      <c r="D716" s="40"/>
      <c r="E716" s="51"/>
      <c r="F716" s="29"/>
    </row>
    <row r="717" spans="1:6" x14ac:dyDescent="0.25">
      <c r="A717" s="59"/>
      <c r="B717" s="58"/>
      <c r="C717" s="58"/>
      <c r="D717" s="58"/>
      <c r="E717" s="58">
        <f t="shared" ref="E717:E718" si="132">+B717+C717+D717</f>
        <v>0</v>
      </c>
      <c r="F717" s="29"/>
    </row>
    <row r="718" spans="1:6" x14ac:dyDescent="0.25">
      <c r="A718" s="59"/>
      <c r="B718" s="58"/>
      <c r="C718" s="58"/>
      <c r="D718" s="58"/>
      <c r="E718" s="58">
        <f t="shared" si="132"/>
        <v>0</v>
      </c>
      <c r="F718" s="29"/>
    </row>
    <row r="719" spans="1:6" ht="18.75" x14ac:dyDescent="0.4">
      <c r="A719" s="32" t="s">
        <v>112</v>
      </c>
      <c r="B719" s="40"/>
      <c r="C719" s="40"/>
      <c r="D719" s="40"/>
      <c r="E719" s="51"/>
      <c r="F719" s="29"/>
    </row>
    <row r="720" spans="1:6" x14ac:dyDescent="0.25">
      <c r="A720" s="60" t="s">
        <v>124</v>
      </c>
      <c r="B720" s="58">
        <v>0</v>
      </c>
      <c r="C720" s="58"/>
      <c r="D720" s="58"/>
      <c r="E720" s="58">
        <f t="shared" ref="E720:E721" si="133">+B720+C720+D720</f>
        <v>0</v>
      </c>
      <c r="F720" s="29"/>
    </row>
    <row r="721" spans="1:34" x14ac:dyDescent="0.25">
      <c r="A721" s="60" t="s">
        <v>75</v>
      </c>
      <c r="B721" s="61">
        <v>0</v>
      </c>
      <c r="C721" s="58"/>
      <c r="D721" s="58"/>
      <c r="E721" s="58">
        <f t="shared" si="133"/>
        <v>0</v>
      </c>
      <c r="F721" s="29"/>
    </row>
    <row r="722" spans="1:34" ht="18.75" x14ac:dyDescent="0.4">
      <c r="A722" s="34" t="s">
        <v>113</v>
      </c>
      <c r="B722" s="40"/>
      <c r="C722" s="40"/>
      <c r="D722" s="40"/>
      <c r="E722" s="51"/>
      <c r="F722" s="29"/>
    </row>
    <row r="723" spans="1:34" x14ac:dyDescent="0.25">
      <c r="A723" s="92" t="s">
        <v>137</v>
      </c>
      <c r="B723" s="98">
        <v>0</v>
      </c>
      <c r="C723" s="98">
        <v>295800</v>
      </c>
      <c r="D723" s="58"/>
      <c r="E723" s="58">
        <f t="shared" ref="E723" si="134">+B723+C723+D723</f>
        <v>295800</v>
      </c>
      <c r="F723" s="29"/>
    </row>
    <row r="724" spans="1:34" x14ac:dyDescent="0.25">
      <c r="A724" s="92" t="s">
        <v>138</v>
      </c>
      <c r="B724" s="96">
        <v>0</v>
      </c>
      <c r="C724" s="96">
        <v>48599.51</v>
      </c>
      <c r="D724" s="58"/>
      <c r="E724" s="58">
        <f t="shared" ref="E724:E726" si="135">+B724+C724+D724</f>
        <v>48599.51</v>
      </c>
      <c r="F724" s="29"/>
    </row>
    <row r="725" spans="1:34" x14ac:dyDescent="0.25">
      <c r="A725" s="92" t="s">
        <v>179</v>
      </c>
      <c r="B725" s="98">
        <v>0</v>
      </c>
      <c r="C725" s="98">
        <v>1107400</v>
      </c>
      <c r="D725" s="58"/>
      <c r="E725" s="58">
        <f t="shared" si="135"/>
        <v>1107400</v>
      </c>
      <c r="F725" s="29"/>
    </row>
    <row r="726" spans="1:34" x14ac:dyDescent="0.25">
      <c r="A726" s="92" t="s">
        <v>142</v>
      </c>
      <c r="B726" s="96">
        <v>0</v>
      </c>
      <c r="C726" s="96">
        <v>4170.2</v>
      </c>
      <c r="D726" s="58"/>
      <c r="E726" s="58">
        <f t="shared" si="135"/>
        <v>4170.2</v>
      </c>
      <c r="F726" s="29">
        <f>SUM(E723:E726)</f>
        <v>1455969.71</v>
      </c>
    </row>
    <row r="727" spans="1:34" x14ac:dyDescent="0.25">
      <c r="A727" s="9"/>
      <c r="B727" s="40"/>
      <c r="C727" s="40"/>
      <c r="D727" s="40"/>
      <c r="E727" s="51"/>
      <c r="F727" s="29"/>
    </row>
    <row r="728" spans="1:34" x14ac:dyDescent="0.25">
      <c r="A728" s="9"/>
      <c r="B728" s="40"/>
      <c r="C728" s="40"/>
      <c r="D728" s="40"/>
      <c r="E728" s="51"/>
      <c r="F728" s="29"/>
    </row>
    <row r="729" spans="1:34" x14ac:dyDescent="0.25">
      <c r="A729" s="9"/>
      <c r="B729" s="40"/>
      <c r="C729" s="40"/>
      <c r="D729" s="40"/>
      <c r="E729" s="51"/>
      <c r="F729" s="29"/>
    </row>
    <row r="730" spans="1:34" ht="15.75" x14ac:dyDescent="0.3">
      <c r="A730" s="170" t="s">
        <v>81</v>
      </c>
      <c r="B730" s="170"/>
      <c r="C730" s="170"/>
      <c r="D730" s="170"/>
      <c r="E730" s="170"/>
      <c r="F730" s="85"/>
      <c r="G730" s="85"/>
    </row>
    <row r="731" spans="1:34" x14ac:dyDescent="0.25">
      <c r="A731" s="23"/>
    </row>
    <row r="732" spans="1:34" ht="30" x14ac:dyDescent="0.25">
      <c r="A732" s="33" t="s">
        <v>105</v>
      </c>
      <c r="B732" s="38" t="s">
        <v>106</v>
      </c>
      <c r="C732" s="38" t="s">
        <v>107</v>
      </c>
      <c r="D732" s="38" t="s">
        <v>108</v>
      </c>
      <c r="E732" s="38" t="s">
        <v>109</v>
      </c>
    </row>
    <row r="733" spans="1:34" ht="18.75" x14ac:dyDescent="0.4">
      <c r="A733" s="32" t="s">
        <v>110</v>
      </c>
      <c r="B733" s="37">
        <f>SUM(B734:B755)</f>
        <v>4743421.2699999996</v>
      </c>
      <c r="C733" s="134">
        <f t="shared" ref="C733:E733" si="136">SUM(C734:C755)</f>
        <v>1390314.67</v>
      </c>
      <c r="D733" s="37">
        <f t="shared" si="136"/>
        <v>0</v>
      </c>
      <c r="E733" s="134">
        <f t="shared" si="136"/>
        <v>6133735.9399999995</v>
      </c>
    </row>
    <row r="734" spans="1:34" s="3" customFormat="1" ht="11.25" customHeight="1" x14ac:dyDescent="0.15">
      <c r="A734" s="59" t="s">
        <v>1</v>
      </c>
      <c r="B734" s="52">
        <v>50000</v>
      </c>
      <c r="C734" s="58"/>
      <c r="D734" s="58"/>
      <c r="E734" s="58">
        <f t="shared" ref="E734:E746" si="137">+B734+C734+D734</f>
        <v>50000</v>
      </c>
      <c r="F734" s="4"/>
      <c r="G734" s="4"/>
      <c r="I734" s="4"/>
      <c r="K734" s="4"/>
      <c r="M734" s="4"/>
      <c r="O734" s="4"/>
      <c r="Q734" s="4"/>
      <c r="S734" s="4"/>
      <c r="U734" s="4"/>
      <c r="W734" s="4"/>
      <c r="Y734" s="4"/>
      <c r="AA734" s="4"/>
      <c r="AC734" s="4"/>
      <c r="AE734" s="4"/>
      <c r="AG734" s="4"/>
    </row>
    <row r="735" spans="1:34" s="3" customFormat="1" ht="11.25" customHeight="1" x14ac:dyDescent="0.15">
      <c r="A735" s="59" t="s">
        <v>2</v>
      </c>
      <c r="B735" s="52">
        <v>24840</v>
      </c>
      <c r="C735" s="52"/>
      <c r="D735" s="58"/>
      <c r="E735" s="58">
        <f t="shared" si="137"/>
        <v>24840</v>
      </c>
      <c r="F735" s="8"/>
      <c r="G735" s="8"/>
      <c r="H735" s="9"/>
      <c r="I735" s="8"/>
      <c r="J735" s="7"/>
      <c r="K735" s="8"/>
      <c r="L735" s="7"/>
      <c r="M735" s="8"/>
      <c r="N735" s="7"/>
      <c r="O735" s="8"/>
      <c r="P735" s="7"/>
      <c r="Q735" s="8"/>
      <c r="R735" s="7"/>
      <c r="S735" s="8"/>
      <c r="T735" s="7"/>
      <c r="U735" s="8"/>
      <c r="V735" s="7"/>
      <c r="W735" s="8"/>
      <c r="X735" s="7"/>
      <c r="Y735" s="8"/>
      <c r="Z735" s="7"/>
      <c r="AA735" s="8"/>
      <c r="AB735" s="7"/>
      <c r="AC735" s="8"/>
      <c r="AD735" s="7"/>
      <c r="AE735" s="8"/>
      <c r="AF735" s="7"/>
      <c r="AG735" s="8"/>
      <c r="AH735" s="7"/>
    </row>
    <row r="736" spans="1:34" s="3" customFormat="1" ht="11.25" customHeight="1" x14ac:dyDescent="0.15">
      <c r="A736" s="59" t="s">
        <v>3</v>
      </c>
      <c r="B736" s="52">
        <v>16500</v>
      </c>
      <c r="C736" s="52"/>
      <c r="D736" s="58"/>
      <c r="E736" s="58">
        <f t="shared" si="137"/>
        <v>16500</v>
      </c>
      <c r="F736" s="8"/>
      <c r="G736" s="8"/>
      <c r="H736" s="9"/>
      <c r="I736" s="8"/>
      <c r="J736" s="7"/>
      <c r="K736" s="8"/>
      <c r="L736" s="7"/>
      <c r="M736" s="8"/>
      <c r="N736" s="7"/>
      <c r="O736" s="8"/>
      <c r="P736" s="7"/>
      <c r="Q736" s="8"/>
      <c r="R736" s="7"/>
      <c r="S736" s="8"/>
      <c r="T736" s="7"/>
      <c r="U736" s="8"/>
      <c r="V736" s="7"/>
      <c r="W736" s="8"/>
      <c r="X736" s="7"/>
      <c r="Y736" s="8"/>
      <c r="Z736" s="7"/>
      <c r="AA736" s="8"/>
      <c r="AB736" s="7"/>
      <c r="AC736" s="8"/>
      <c r="AD736" s="7"/>
      <c r="AE736" s="8"/>
      <c r="AF736" s="7"/>
      <c r="AG736" s="8"/>
      <c r="AH736" s="7"/>
    </row>
    <row r="737" spans="1:35" s="3" customFormat="1" ht="11.25" customHeight="1" x14ac:dyDescent="0.15">
      <c r="A737" s="87" t="s">
        <v>77</v>
      </c>
      <c r="B737" s="52">
        <v>16720</v>
      </c>
      <c r="C737" s="50"/>
      <c r="D737" s="50"/>
      <c r="E737" s="58">
        <f t="shared" si="137"/>
        <v>16720</v>
      </c>
      <c r="F737" s="8"/>
      <c r="G737" s="8"/>
      <c r="H737" s="9"/>
      <c r="I737" s="8"/>
      <c r="J737" s="7"/>
      <c r="K737" s="8"/>
      <c r="L737" s="7"/>
      <c r="M737" s="8"/>
      <c r="N737" s="7"/>
      <c r="O737" s="8"/>
      <c r="P737" s="7"/>
      <c r="Q737" s="8"/>
      <c r="R737" s="7"/>
      <c r="S737" s="8"/>
      <c r="T737" s="7"/>
      <c r="U737" s="8"/>
      <c r="V737" s="7"/>
      <c r="W737" s="8"/>
      <c r="X737" s="7"/>
      <c r="Y737" s="8"/>
      <c r="Z737" s="7"/>
      <c r="AA737" s="8"/>
      <c r="AB737" s="7"/>
      <c r="AC737" s="8"/>
      <c r="AD737" s="7"/>
      <c r="AE737" s="8"/>
      <c r="AF737" s="7"/>
      <c r="AG737" s="8"/>
      <c r="AH737" s="7"/>
      <c r="AI737" s="9"/>
    </row>
    <row r="738" spans="1:35" s="3" customFormat="1" ht="11.25" customHeight="1" x14ac:dyDescent="0.15">
      <c r="A738" s="59" t="s">
        <v>66</v>
      </c>
      <c r="B738" s="52">
        <v>24000</v>
      </c>
      <c r="C738" s="52"/>
      <c r="D738" s="58"/>
      <c r="E738" s="58">
        <f t="shared" si="137"/>
        <v>24000</v>
      </c>
      <c r="F738" s="8"/>
      <c r="G738" s="8"/>
      <c r="H738" s="9"/>
      <c r="I738" s="8"/>
      <c r="J738" s="7"/>
      <c r="K738" s="8"/>
      <c r="L738" s="7"/>
      <c r="M738" s="8"/>
      <c r="N738" s="7"/>
      <c r="O738" s="8"/>
      <c r="P738" s="7"/>
      <c r="Q738" s="8"/>
      <c r="R738" s="7"/>
      <c r="S738" s="8"/>
      <c r="T738" s="7"/>
      <c r="U738" s="8"/>
      <c r="V738" s="7"/>
      <c r="W738" s="8"/>
      <c r="X738" s="7"/>
      <c r="Y738" s="8"/>
      <c r="Z738" s="7"/>
      <c r="AA738" s="8"/>
      <c r="AB738" s="7"/>
      <c r="AC738" s="8"/>
      <c r="AD738" s="7"/>
      <c r="AE738" s="8"/>
      <c r="AF738" s="7"/>
      <c r="AG738" s="8"/>
      <c r="AH738" s="7"/>
    </row>
    <row r="739" spans="1:35" s="3" customFormat="1" ht="11.25" customHeight="1" x14ac:dyDescent="0.15">
      <c r="A739" s="59" t="s">
        <v>67</v>
      </c>
      <c r="B739" s="52">
        <v>26600</v>
      </c>
      <c r="C739" s="52"/>
      <c r="D739" s="58"/>
      <c r="E739" s="58">
        <f t="shared" si="137"/>
        <v>26600</v>
      </c>
      <c r="F739" s="8"/>
      <c r="G739" s="8"/>
      <c r="H739" s="9"/>
      <c r="I739" s="8"/>
      <c r="J739" s="7"/>
      <c r="K739" s="8"/>
      <c r="L739" s="7"/>
      <c r="M739" s="8"/>
      <c r="N739" s="7"/>
      <c r="O739" s="8"/>
      <c r="P739" s="7"/>
      <c r="Q739" s="8"/>
      <c r="R739" s="7"/>
      <c r="S739" s="8"/>
      <c r="T739" s="7"/>
      <c r="U739" s="8"/>
      <c r="V739" s="7"/>
      <c r="W739" s="8"/>
      <c r="X739" s="7"/>
      <c r="Y739" s="8"/>
      <c r="Z739" s="7"/>
      <c r="AA739" s="8"/>
      <c r="AB739" s="7"/>
      <c r="AC739" s="8"/>
      <c r="AD739" s="7"/>
      <c r="AE739" s="8"/>
      <c r="AF739" s="7"/>
      <c r="AG739" s="8"/>
      <c r="AH739" s="7"/>
    </row>
    <row r="740" spans="1:35" s="3" customFormat="1" ht="11.25" customHeight="1" x14ac:dyDescent="0.15">
      <c r="A740" s="59" t="s">
        <v>69</v>
      </c>
      <c r="B740" s="52">
        <v>30400</v>
      </c>
      <c r="C740" s="52"/>
      <c r="D740" s="58"/>
      <c r="E740" s="58">
        <f t="shared" si="137"/>
        <v>30400</v>
      </c>
      <c r="F740" s="8"/>
      <c r="G740" s="8"/>
      <c r="H740" s="9"/>
      <c r="I740" s="8"/>
      <c r="J740" s="7"/>
      <c r="K740" s="8"/>
      <c r="L740" s="7"/>
      <c r="M740" s="8"/>
      <c r="N740" s="7"/>
      <c r="O740" s="8"/>
      <c r="P740" s="7"/>
      <c r="Q740" s="8"/>
      <c r="R740" s="7"/>
      <c r="S740" s="8"/>
      <c r="T740" s="7"/>
      <c r="U740" s="8"/>
      <c r="V740" s="7"/>
      <c r="W740" s="8"/>
      <c r="X740" s="7"/>
      <c r="Y740" s="8"/>
      <c r="Z740" s="7"/>
      <c r="AA740" s="8"/>
      <c r="AB740" s="7"/>
      <c r="AC740" s="8"/>
      <c r="AD740" s="7"/>
      <c r="AE740" s="8"/>
      <c r="AF740" s="7"/>
      <c r="AG740" s="8"/>
      <c r="AH740" s="7"/>
    </row>
    <row r="741" spans="1:35" s="3" customFormat="1" ht="11.25" customHeight="1" x14ac:dyDescent="0.15">
      <c r="A741" s="87" t="s">
        <v>70</v>
      </c>
      <c r="B741" s="52">
        <v>59904</v>
      </c>
      <c r="C741" s="50"/>
      <c r="D741" s="50"/>
      <c r="E741" s="58">
        <f t="shared" si="137"/>
        <v>59904</v>
      </c>
      <c r="F741" s="8"/>
      <c r="G741" s="8"/>
      <c r="H741" s="9"/>
      <c r="I741" s="8"/>
      <c r="J741" s="7"/>
      <c r="K741" s="11"/>
      <c r="L741" s="7"/>
      <c r="M741" s="11"/>
      <c r="N741" s="7"/>
      <c r="O741" s="11"/>
      <c r="P741" s="7"/>
      <c r="Q741" s="11"/>
      <c r="R741" s="7"/>
      <c r="S741" s="11"/>
      <c r="T741" s="7"/>
      <c r="U741" s="11"/>
      <c r="V741" s="7"/>
      <c r="W741" s="11"/>
      <c r="X741" s="7"/>
      <c r="Y741" s="11"/>
      <c r="Z741" s="7"/>
      <c r="AA741" s="11"/>
      <c r="AB741" s="7"/>
      <c r="AC741" s="11"/>
      <c r="AD741" s="7"/>
      <c r="AE741" s="11"/>
      <c r="AF741" s="7"/>
      <c r="AG741" s="11"/>
      <c r="AH741" s="9"/>
    </row>
    <row r="742" spans="1:35" x14ac:dyDescent="0.25">
      <c r="A742" s="59" t="s">
        <v>6</v>
      </c>
      <c r="B742" s="67">
        <v>7600</v>
      </c>
      <c r="C742" s="58"/>
      <c r="D742" s="58"/>
      <c r="E742" s="58">
        <f t="shared" si="137"/>
        <v>7600</v>
      </c>
    </row>
    <row r="743" spans="1:35" x14ac:dyDescent="0.25">
      <c r="A743" s="59" t="s">
        <v>71</v>
      </c>
      <c r="B743" s="67">
        <v>0</v>
      </c>
      <c r="C743" s="81"/>
      <c r="D743" s="81"/>
      <c r="E743" s="58">
        <f t="shared" si="137"/>
        <v>0</v>
      </c>
    </row>
    <row r="744" spans="1:35" x14ac:dyDescent="0.25">
      <c r="A744" s="59" t="s">
        <v>82</v>
      </c>
      <c r="B744" s="67">
        <v>0</v>
      </c>
      <c r="C744" s="58"/>
      <c r="D744" s="58"/>
      <c r="E744" s="58">
        <f t="shared" si="137"/>
        <v>0</v>
      </c>
    </row>
    <row r="745" spans="1:35" x14ac:dyDescent="0.25">
      <c r="A745" s="59" t="s">
        <v>83</v>
      </c>
      <c r="B745" s="67">
        <v>35736</v>
      </c>
      <c r="C745" s="58"/>
      <c r="D745" s="58"/>
      <c r="E745" s="58">
        <f t="shared" si="137"/>
        <v>35736</v>
      </c>
    </row>
    <row r="746" spans="1:35" x14ac:dyDescent="0.25">
      <c r="A746" s="59" t="s">
        <v>5</v>
      </c>
      <c r="B746" s="58"/>
      <c r="C746" s="58"/>
      <c r="D746" s="58"/>
      <c r="E746" s="58">
        <f t="shared" si="137"/>
        <v>0</v>
      </c>
      <c r="F746" s="36">
        <f>SUM(E734:E746)</f>
        <v>292300</v>
      </c>
    </row>
    <row r="747" spans="1:35" x14ac:dyDescent="0.25">
      <c r="F747" s="29" t="s">
        <v>75</v>
      </c>
    </row>
    <row r="748" spans="1:35" ht="18.75" x14ac:dyDescent="0.4">
      <c r="A748" s="32" t="s">
        <v>111</v>
      </c>
      <c r="B748" s="40"/>
      <c r="C748" s="40"/>
      <c r="D748" s="40"/>
      <c r="E748" s="51"/>
      <c r="F748" s="29"/>
    </row>
    <row r="749" spans="1:35" x14ac:dyDescent="0.25">
      <c r="A749" s="59"/>
      <c r="B749" s="58"/>
      <c r="C749" s="58"/>
      <c r="D749" s="58"/>
      <c r="E749" s="58">
        <f t="shared" ref="E749:E750" si="138">+B749+C749+D749</f>
        <v>0</v>
      </c>
      <c r="F749" s="29"/>
    </row>
    <row r="750" spans="1:35" x14ac:dyDescent="0.25">
      <c r="A750" s="59"/>
      <c r="B750" s="58"/>
      <c r="C750" s="58"/>
      <c r="D750" s="58"/>
      <c r="E750" s="58">
        <f t="shared" si="138"/>
        <v>0</v>
      </c>
      <c r="F750" s="29"/>
    </row>
    <row r="751" spans="1:35" ht="18.75" x14ac:dyDescent="0.4">
      <c r="A751" s="32" t="s">
        <v>112</v>
      </c>
      <c r="B751" s="40"/>
      <c r="C751" s="40"/>
      <c r="D751" s="40"/>
      <c r="E751" s="51"/>
      <c r="F751" s="29"/>
    </row>
    <row r="752" spans="1:35" x14ac:dyDescent="0.25">
      <c r="A752" s="60" t="s">
        <v>157</v>
      </c>
      <c r="B752" s="58">
        <v>4451121.2699999996</v>
      </c>
      <c r="C752" s="93">
        <v>1390314.67</v>
      </c>
      <c r="D752" s="58"/>
      <c r="E752" s="58">
        <f t="shared" ref="E752:E753" si="139">+B752+C752+D752</f>
        <v>5841435.9399999995</v>
      </c>
      <c r="F752" s="29">
        <f>+E752</f>
        <v>5841435.9399999995</v>
      </c>
    </row>
    <row r="753" spans="1:8" x14ac:dyDescent="0.25">
      <c r="A753" s="60" t="s">
        <v>75</v>
      </c>
      <c r="B753" s="61">
        <v>0</v>
      </c>
      <c r="C753" s="58"/>
      <c r="D753" s="58"/>
      <c r="E753" s="58">
        <f t="shared" si="139"/>
        <v>0</v>
      </c>
      <c r="F753" s="29"/>
    </row>
    <row r="754" spans="1:8" ht="18.75" x14ac:dyDescent="0.4">
      <c r="A754" s="34" t="s">
        <v>113</v>
      </c>
      <c r="B754" s="40"/>
      <c r="C754" s="40"/>
      <c r="D754" s="40"/>
      <c r="E754" s="51"/>
      <c r="F754" s="29"/>
    </row>
    <row r="755" spans="1:8" x14ac:dyDescent="0.25">
      <c r="A755" s="59"/>
      <c r="B755" s="58"/>
      <c r="C755" s="58"/>
      <c r="D755" s="58"/>
      <c r="E755" s="58">
        <f t="shared" ref="E755" si="140">+B755+C755+D755</f>
        <v>0</v>
      </c>
      <c r="F755" s="29"/>
    </row>
    <row r="756" spans="1:8" x14ac:dyDescent="0.25">
      <c r="F756" s="29"/>
    </row>
    <row r="757" spans="1:8" x14ac:dyDescent="0.25">
      <c r="F757" s="29"/>
    </row>
    <row r="758" spans="1:8" ht="15.75" x14ac:dyDescent="0.3">
      <c r="A758" s="170" t="s">
        <v>151</v>
      </c>
      <c r="B758" s="170"/>
      <c r="C758" s="170"/>
      <c r="D758" s="170"/>
      <c r="E758" s="170"/>
      <c r="F758" s="29"/>
    </row>
    <row r="759" spans="1:8" x14ac:dyDescent="0.25">
      <c r="A759" s="23"/>
      <c r="F759" s="29"/>
    </row>
    <row r="760" spans="1:8" ht="30" x14ac:dyDescent="0.25">
      <c r="A760" s="33" t="s">
        <v>105</v>
      </c>
      <c r="B760" s="38" t="s">
        <v>106</v>
      </c>
      <c r="C760" s="38" t="s">
        <v>107</v>
      </c>
      <c r="D760" s="38" t="s">
        <v>108</v>
      </c>
      <c r="E760" s="38" t="s">
        <v>109</v>
      </c>
      <c r="F760" s="29"/>
    </row>
    <row r="761" spans="1:8" ht="18.75" x14ac:dyDescent="0.4">
      <c r="A761" s="32" t="s">
        <v>110</v>
      </c>
      <c r="B761" s="37">
        <f>SUM(B762:B783)</f>
        <v>224844</v>
      </c>
      <c r="C761" s="37">
        <f t="shared" ref="C761:E761" si="141">SUM(C762:C783)</f>
        <v>0</v>
      </c>
      <c r="D761" s="37">
        <f t="shared" si="141"/>
        <v>0</v>
      </c>
      <c r="E761" s="37">
        <f t="shared" si="141"/>
        <v>224844</v>
      </c>
      <c r="F761" s="29"/>
    </row>
    <row r="762" spans="1:8" x14ac:dyDescent="0.25">
      <c r="A762" s="59" t="s">
        <v>1</v>
      </c>
      <c r="B762" s="52">
        <v>30000</v>
      </c>
      <c r="C762" s="58"/>
      <c r="D762" s="58"/>
      <c r="E762" s="58">
        <f t="shared" ref="E762:E774" si="142">+B762+C762+D762</f>
        <v>30000</v>
      </c>
      <c r="F762" s="29"/>
      <c r="G762" s="94" t="s">
        <v>75</v>
      </c>
      <c r="H762" s="94">
        <f>3183567.62+5841435.94+1455969.41</f>
        <v>10480972.970000001</v>
      </c>
    </row>
    <row r="763" spans="1:8" x14ac:dyDescent="0.25">
      <c r="A763" s="59" t="s">
        <v>2</v>
      </c>
      <c r="B763" s="52">
        <v>44840</v>
      </c>
      <c r="C763" s="52"/>
      <c r="D763" s="58"/>
      <c r="E763" s="58">
        <f t="shared" si="142"/>
        <v>44840</v>
      </c>
      <c r="F763" s="29" t="s">
        <v>152</v>
      </c>
      <c r="G763" s="36">
        <f>+F682</f>
        <v>320017</v>
      </c>
    </row>
    <row r="764" spans="1:8" x14ac:dyDescent="0.25">
      <c r="A764" s="59" t="s">
        <v>3</v>
      </c>
      <c r="B764" s="52">
        <v>16500</v>
      </c>
      <c r="C764" s="52"/>
      <c r="D764" s="58"/>
      <c r="E764" s="58">
        <f t="shared" si="142"/>
        <v>16500</v>
      </c>
      <c r="F764" s="29" t="s">
        <v>153</v>
      </c>
      <c r="G764" s="29">
        <f>+F715+F726</f>
        <v>4199998.1500000004</v>
      </c>
    </row>
    <row r="765" spans="1:8" x14ac:dyDescent="0.25">
      <c r="A765" s="87" t="s">
        <v>77</v>
      </c>
      <c r="B765" s="52">
        <v>0</v>
      </c>
      <c r="C765" s="50"/>
      <c r="D765" s="50"/>
      <c r="E765" s="58">
        <f t="shared" si="142"/>
        <v>0</v>
      </c>
      <c r="F765" s="29" t="s">
        <v>154</v>
      </c>
      <c r="G765" s="36">
        <f>+F746+F752</f>
        <v>6133735.9399999995</v>
      </c>
    </row>
    <row r="766" spans="1:8" x14ac:dyDescent="0.25">
      <c r="A766" s="59" t="s">
        <v>66</v>
      </c>
      <c r="B766" s="52">
        <v>44000</v>
      </c>
      <c r="C766" s="52"/>
      <c r="D766" s="58"/>
      <c r="E766" s="58">
        <f t="shared" si="142"/>
        <v>44000</v>
      </c>
      <c r="F766" s="29" t="s">
        <v>155</v>
      </c>
      <c r="G766" s="29">
        <f>+F774</f>
        <v>224844</v>
      </c>
      <c r="H766" s="36">
        <f>SUM(G763:G766)</f>
        <v>10878595.09</v>
      </c>
    </row>
    <row r="767" spans="1:8" x14ac:dyDescent="0.25">
      <c r="A767" s="59" t="s">
        <v>67</v>
      </c>
      <c r="B767" s="52">
        <v>26600</v>
      </c>
      <c r="C767" s="52"/>
      <c r="D767" s="58"/>
      <c r="E767" s="58">
        <f t="shared" si="142"/>
        <v>26600</v>
      </c>
      <c r="F767" s="29"/>
      <c r="H767" s="36">
        <f>+H762-H766</f>
        <v>-397622.11999999918</v>
      </c>
    </row>
    <row r="768" spans="1:8" x14ac:dyDescent="0.25">
      <c r="A768" s="59" t="s">
        <v>69</v>
      </c>
      <c r="B768" s="52">
        <v>10400</v>
      </c>
      <c r="C768" s="52"/>
      <c r="D768" s="58"/>
      <c r="E768" s="58">
        <f t="shared" si="142"/>
        <v>10400</v>
      </c>
      <c r="F768" s="29"/>
    </row>
    <row r="769" spans="1:6" x14ac:dyDescent="0.25">
      <c r="A769" s="87" t="s">
        <v>70</v>
      </c>
      <c r="B769" s="52">
        <v>29904</v>
      </c>
      <c r="C769" s="50"/>
      <c r="D769" s="50"/>
      <c r="E769" s="58">
        <f t="shared" si="142"/>
        <v>29904</v>
      </c>
      <c r="F769" s="29"/>
    </row>
    <row r="770" spans="1:6" x14ac:dyDescent="0.25">
      <c r="A770" s="59" t="s">
        <v>6</v>
      </c>
      <c r="B770" s="58">
        <v>7600</v>
      </c>
      <c r="C770" s="58"/>
      <c r="D770" s="58"/>
      <c r="E770" s="58">
        <f t="shared" si="142"/>
        <v>7600</v>
      </c>
      <c r="F770" s="29"/>
    </row>
    <row r="771" spans="1:6" x14ac:dyDescent="0.25">
      <c r="A771" s="59" t="s">
        <v>71</v>
      </c>
      <c r="B771" s="58">
        <v>15000</v>
      </c>
      <c r="C771" s="81"/>
      <c r="D771" s="81"/>
      <c r="E771" s="58">
        <f t="shared" si="142"/>
        <v>15000</v>
      </c>
      <c r="F771" s="29"/>
    </row>
    <row r="772" spans="1:6" x14ac:dyDescent="0.25">
      <c r="A772" s="59" t="s">
        <v>82</v>
      </c>
      <c r="B772" s="58">
        <v>0</v>
      </c>
      <c r="C772" s="58"/>
      <c r="D772" s="58"/>
      <c r="E772" s="58">
        <f t="shared" si="142"/>
        <v>0</v>
      </c>
      <c r="F772" s="29"/>
    </row>
    <row r="773" spans="1:6" x14ac:dyDescent="0.25">
      <c r="A773" s="59" t="s">
        <v>83</v>
      </c>
      <c r="B773" s="58">
        <v>0</v>
      </c>
      <c r="C773" s="58"/>
      <c r="D773" s="58"/>
      <c r="E773" s="58">
        <f t="shared" si="142"/>
        <v>0</v>
      </c>
      <c r="F773" s="29"/>
    </row>
    <row r="774" spans="1:6" x14ac:dyDescent="0.25">
      <c r="A774" s="59" t="s">
        <v>5</v>
      </c>
      <c r="B774" s="58"/>
      <c r="C774" s="58"/>
      <c r="D774" s="58"/>
      <c r="E774" s="58">
        <f t="shared" si="142"/>
        <v>0</v>
      </c>
      <c r="F774" s="29">
        <f>SUM(E762:E774)</f>
        <v>224844</v>
      </c>
    </row>
    <row r="775" spans="1:6" x14ac:dyDescent="0.25">
      <c r="F775" s="29"/>
    </row>
    <row r="776" spans="1:6" ht="18.75" x14ac:dyDescent="0.4">
      <c r="A776" s="32" t="s">
        <v>111</v>
      </c>
      <c r="B776" s="40"/>
      <c r="C776" s="40"/>
      <c r="D776" s="40"/>
      <c r="E776" s="51"/>
      <c r="F776" s="29"/>
    </row>
    <row r="777" spans="1:6" x14ac:dyDescent="0.25">
      <c r="A777" s="59"/>
      <c r="B777" s="58"/>
      <c r="C777" s="58"/>
      <c r="D777" s="58"/>
      <c r="E777" s="58">
        <f t="shared" ref="E777:E778" si="143">+B777+C777+D777</f>
        <v>0</v>
      </c>
      <c r="F777" s="29"/>
    </row>
    <row r="778" spans="1:6" x14ac:dyDescent="0.25">
      <c r="A778" s="59"/>
      <c r="B778" s="58"/>
      <c r="C778" s="58"/>
      <c r="D778" s="58"/>
      <c r="E778" s="58">
        <f t="shared" si="143"/>
        <v>0</v>
      </c>
      <c r="F778" s="29"/>
    </row>
    <row r="779" spans="1:6" ht="18.75" x14ac:dyDescent="0.4">
      <c r="A779" s="32" t="s">
        <v>112</v>
      </c>
      <c r="B779" s="40"/>
      <c r="C779" s="40"/>
      <c r="D779" s="40"/>
      <c r="E779" s="51"/>
      <c r="F779" s="29"/>
    </row>
    <row r="780" spans="1:6" x14ac:dyDescent="0.25">
      <c r="A780" s="60" t="s">
        <v>157</v>
      </c>
      <c r="B780" s="58">
        <v>0</v>
      </c>
      <c r="C780" s="58"/>
      <c r="D780" s="58"/>
      <c r="E780" s="58">
        <f t="shared" ref="E780:E781" si="144">+B780+C780+D780</f>
        <v>0</v>
      </c>
      <c r="F780" s="29"/>
    </row>
    <row r="781" spans="1:6" x14ac:dyDescent="0.25">
      <c r="A781" s="60" t="s">
        <v>75</v>
      </c>
      <c r="B781" s="61">
        <v>0</v>
      </c>
      <c r="C781" s="58"/>
      <c r="D781" s="58"/>
      <c r="E781" s="58">
        <f t="shared" si="144"/>
        <v>0</v>
      </c>
      <c r="F781" s="29"/>
    </row>
    <row r="782" spans="1:6" ht="18.75" x14ac:dyDescent="0.4">
      <c r="A782" s="34" t="s">
        <v>113</v>
      </c>
      <c r="B782" s="40"/>
      <c r="C782" s="40"/>
      <c r="D782" s="40"/>
      <c r="E782" s="51"/>
      <c r="F782" s="29"/>
    </row>
    <row r="783" spans="1:6" x14ac:dyDescent="0.25">
      <c r="A783" s="59"/>
      <c r="B783" s="58"/>
      <c r="C783" s="58"/>
      <c r="D783" s="58"/>
      <c r="E783" s="58">
        <f t="shared" ref="E783" si="145">+B783+C783+D783</f>
        <v>0</v>
      </c>
      <c r="F783" s="29"/>
    </row>
    <row r="784" spans="1:6" x14ac:dyDescent="0.25">
      <c r="F784" s="29"/>
    </row>
    <row r="785" spans="1:34" x14ac:dyDescent="0.25">
      <c r="F785" s="29"/>
    </row>
    <row r="786" spans="1:34" x14ac:dyDescent="0.25">
      <c r="F786" s="29"/>
    </row>
    <row r="787" spans="1:34" ht="15.75" x14ac:dyDescent="0.3">
      <c r="A787" s="171" t="s">
        <v>84</v>
      </c>
      <c r="B787" s="171"/>
      <c r="C787" s="171"/>
      <c r="D787" s="171"/>
      <c r="E787" s="171"/>
      <c r="F787" s="75"/>
      <c r="G787" s="75"/>
    </row>
    <row r="789" spans="1:34" ht="30" x14ac:dyDescent="0.25">
      <c r="A789" s="33" t="s">
        <v>105</v>
      </c>
      <c r="B789" s="38" t="s">
        <v>106</v>
      </c>
      <c r="C789" s="38" t="s">
        <v>107</v>
      </c>
      <c r="D789" s="38" t="s">
        <v>108</v>
      </c>
      <c r="E789" s="38" t="s">
        <v>109</v>
      </c>
    </row>
    <row r="790" spans="1:34" ht="18.75" x14ac:dyDescent="0.4">
      <c r="A790" s="32" t="s">
        <v>110</v>
      </c>
      <c r="B790" s="37">
        <f>SUM(B791:B817)</f>
        <v>1513722.65</v>
      </c>
      <c r="C790" s="37">
        <f t="shared" ref="C790:E790" si="146">SUM(C791:C817)</f>
        <v>226280.44</v>
      </c>
      <c r="D790" s="37">
        <f t="shared" si="146"/>
        <v>0</v>
      </c>
      <c r="E790" s="37">
        <f t="shared" si="146"/>
        <v>1740003.0899999999</v>
      </c>
    </row>
    <row r="791" spans="1:34" s="3" customFormat="1" ht="11.25" customHeight="1" x14ac:dyDescent="0.15">
      <c r="A791" s="59" t="s">
        <v>1</v>
      </c>
      <c r="B791" s="53">
        <v>84648</v>
      </c>
      <c r="C791" s="96">
        <v>1035.1199999999999</v>
      </c>
      <c r="D791" s="58"/>
      <c r="E791" s="58">
        <f>+B791+C791+D791</f>
        <v>85683.12</v>
      </c>
      <c r="F791" s="4"/>
      <c r="G791" s="4"/>
      <c r="I791" s="4"/>
      <c r="J791" s="15"/>
      <c r="K791" s="4"/>
      <c r="L791" s="16"/>
      <c r="M791" s="4"/>
      <c r="N791" s="16"/>
      <c r="O791" s="4"/>
      <c r="P791" s="16"/>
      <c r="Q791" s="4"/>
      <c r="R791" s="16"/>
      <c r="S791" s="4"/>
      <c r="T791" s="16"/>
      <c r="U791" s="4"/>
      <c r="V791" s="16"/>
      <c r="W791" s="4"/>
      <c r="X791" s="16"/>
      <c r="Y791" s="4"/>
      <c r="Z791" s="16"/>
      <c r="AA791" s="4"/>
      <c r="AB791" s="16"/>
      <c r="AC791" s="4"/>
      <c r="AD791" s="16"/>
      <c r="AE791" s="4"/>
      <c r="AF791" s="16"/>
      <c r="AG791" s="4"/>
    </row>
    <row r="792" spans="1:34" s="3" customFormat="1" ht="11.25" customHeight="1" x14ac:dyDescent="0.15">
      <c r="A792" s="59" t="s">
        <v>2</v>
      </c>
      <c r="B792" s="52">
        <v>249851.8</v>
      </c>
      <c r="C792" s="97"/>
      <c r="D792" s="58"/>
      <c r="E792" s="58">
        <f t="shared" ref="E792:E808" si="147">+B792+C792+D792</f>
        <v>249851.8</v>
      </c>
      <c r="F792" s="8"/>
      <c r="G792" s="8"/>
      <c r="H792" s="9"/>
      <c r="I792" s="8"/>
      <c r="J792" s="17"/>
      <c r="K792" s="8"/>
      <c r="L792" s="18"/>
      <c r="M792" s="8"/>
      <c r="N792" s="18"/>
      <c r="O792" s="8"/>
      <c r="P792" s="18"/>
      <c r="Q792" s="8"/>
      <c r="R792" s="18"/>
      <c r="S792" s="8"/>
      <c r="T792" s="18"/>
      <c r="U792" s="8"/>
      <c r="V792" s="18"/>
      <c r="W792" s="8"/>
      <c r="X792" s="18"/>
      <c r="Y792" s="8"/>
      <c r="Z792" s="18"/>
      <c r="AA792" s="8"/>
      <c r="AB792" s="18"/>
      <c r="AC792" s="8"/>
      <c r="AD792" s="18"/>
      <c r="AE792" s="8"/>
      <c r="AF792" s="18"/>
      <c r="AG792" s="8"/>
      <c r="AH792" s="7"/>
    </row>
    <row r="793" spans="1:34" s="3" customFormat="1" ht="11.25" customHeight="1" x14ac:dyDescent="0.15">
      <c r="A793" s="59" t="s">
        <v>4</v>
      </c>
      <c r="B793" s="58">
        <v>2383</v>
      </c>
      <c r="C793" s="97"/>
      <c r="D793" s="58"/>
      <c r="E793" s="58">
        <f t="shared" si="147"/>
        <v>2383</v>
      </c>
      <c r="F793" s="8"/>
      <c r="G793" s="8"/>
      <c r="H793" s="9"/>
      <c r="I793" s="8"/>
      <c r="J793" s="17"/>
      <c r="K793" s="8"/>
      <c r="L793" s="18"/>
      <c r="M793" s="8"/>
      <c r="N793" s="18"/>
      <c r="O793" s="8"/>
      <c r="P793" s="18"/>
      <c r="Q793" s="8"/>
      <c r="R793" s="18"/>
      <c r="S793" s="8"/>
      <c r="T793" s="18"/>
      <c r="U793" s="8"/>
      <c r="V793" s="18"/>
      <c r="W793" s="8"/>
      <c r="X793" s="18"/>
      <c r="Y793" s="8"/>
      <c r="Z793" s="18"/>
      <c r="AA793" s="8"/>
      <c r="AB793" s="18"/>
      <c r="AC793" s="8"/>
      <c r="AD793" s="18"/>
      <c r="AE793" s="8"/>
      <c r="AF793" s="18"/>
      <c r="AG793" s="8"/>
      <c r="AH793" s="7"/>
    </row>
    <row r="794" spans="1:34" s="3" customFormat="1" ht="11.25" customHeight="1" x14ac:dyDescent="0.15">
      <c r="A794" s="59" t="s">
        <v>3</v>
      </c>
      <c r="B794" s="52">
        <f>75420-C794</f>
        <v>44675.95</v>
      </c>
      <c r="C794" s="123">
        <v>30744.05</v>
      </c>
      <c r="D794" s="58"/>
      <c r="E794" s="58">
        <f t="shared" si="147"/>
        <v>75420</v>
      </c>
      <c r="F794" s="8"/>
      <c r="G794" s="8"/>
      <c r="H794" s="9"/>
      <c r="I794" s="8"/>
      <c r="J794" s="17"/>
      <c r="K794" s="8"/>
      <c r="L794" s="18"/>
      <c r="M794" s="8"/>
      <c r="N794" s="18"/>
      <c r="O794" s="8"/>
      <c r="P794" s="18"/>
      <c r="Q794" s="8"/>
      <c r="R794" s="18"/>
      <c r="S794" s="8"/>
      <c r="T794" s="18"/>
      <c r="U794" s="8"/>
      <c r="V794" s="18"/>
      <c r="W794" s="8"/>
      <c r="X794" s="18"/>
      <c r="Y794" s="8"/>
      <c r="Z794" s="18"/>
      <c r="AA794" s="8"/>
      <c r="AB794" s="18"/>
      <c r="AC794" s="8"/>
      <c r="AD794" s="18"/>
      <c r="AE794" s="8"/>
      <c r="AF794" s="18"/>
      <c r="AG794" s="8"/>
      <c r="AH794" s="7"/>
    </row>
    <row r="795" spans="1:34" x14ac:dyDescent="0.25">
      <c r="A795" s="59" t="s">
        <v>18</v>
      </c>
      <c r="B795" s="58">
        <f>281560.91-C795</f>
        <v>186875.71999999997</v>
      </c>
      <c r="C795" s="123">
        <v>94685.19</v>
      </c>
      <c r="D795" s="58"/>
      <c r="E795" s="58">
        <f t="shared" si="147"/>
        <v>281560.90999999997</v>
      </c>
    </row>
    <row r="796" spans="1:34" x14ac:dyDescent="0.25">
      <c r="A796" s="59" t="s">
        <v>6</v>
      </c>
      <c r="B796" s="58">
        <v>25492</v>
      </c>
      <c r="C796" s="96"/>
      <c r="D796" s="58"/>
      <c r="E796" s="58">
        <f t="shared" si="147"/>
        <v>25492</v>
      </c>
    </row>
    <row r="797" spans="1:34" x14ac:dyDescent="0.25">
      <c r="A797" s="59" t="s">
        <v>19</v>
      </c>
      <c r="B797" s="58">
        <v>4944</v>
      </c>
      <c r="C797" s="96"/>
      <c r="D797" s="58"/>
      <c r="E797" s="58">
        <f t="shared" si="147"/>
        <v>4944</v>
      </c>
    </row>
    <row r="798" spans="1:34" x14ac:dyDescent="0.25">
      <c r="A798" s="59" t="s">
        <v>58</v>
      </c>
      <c r="B798" s="58">
        <v>9280</v>
      </c>
      <c r="C798" s="96"/>
      <c r="D798" s="58"/>
      <c r="E798" s="58">
        <f t="shared" si="147"/>
        <v>9280</v>
      </c>
    </row>
    <row r="799" spans="1:34" x14ac:dyDescent="0.25">
      <c r="A799" s="59" t="s">
        <v>9</v>
      </c>
      <c r="B799" s="58">
        <v>5120</v>
      </c>
      <c r="C799" s="96"/>
      <c r="D799" s="58"/>
      <c r="E799" s="58">
        <f t="shared" si="147"/>
        <v>5120</v>
      </c>
    </row>
    <row r="800" spans="1:34" x14ac:dyDescent="0.25">
      <c r="A800" s="59" t="s">
        <v>85</v>
      </c>
      <c r="B800" s="58">
        <v>2624</v>
      </c>
      <c r="C800" s="96"/>
      <c r="D800" s="58"/>
      <c r="E800" s="58">
        <f t="shared" si="147"/>
        <v>2624</v>
      </c>
    </row>
    <row r="801" spans="1:6" x14ac:dyDescent="0.25">
      <c r="A801" s="59" t="s">
        <v>62</v>
      </c>
      <c r="B801" s="58">
        <f>5920-C801</f>
        <v>3932.92</v>
      </c>
      <c r="C801" s="96">
        <v>1987.08</v>
      </c>
      <c r="D801" s="58"/>
      <c r="E801" s="58">
        <f t="shared" si="147"/>
        <v>5920</v>
      </c>
    </row>
    <row r="802" spans="1:6" x14ac:dyDescent="0.25">
      <c r="A802" s="59" t="s">
        <v>10</v>
      </c>
      <c r="B802" s="58">
        <f>363321-C802</f>
        <v>266571</v>
      </c>
      <c r="C802" s="96">
        <v>96750</v>
      </c>
      <c r="D802" s="58"/>
      <c r="E802" s="58">
        <f t="shared" si="147"/>
        <v>363321</v>
      </c>
    </row>
    <row r="803" spans="1:6" x14ac:dyDescent="0.25">
      <c r="A803" s="59" t="s">
        <v>181</v>
      </c>
      <c r="B803" s="58">
        <f>65908.88-C803</f>
        <v>64829.880000000005</v>
      </c>
      <c r="C803" s="96">
        <v>1079</v>
      </c>
      <c r="D803" s="58"/>
      <c r="E803" s="58">
        <f t="shared" si="147"/>
        <v>65908.88</v>
      </c>
    </row>
    <row r="804" spans="1:6" x14ac:dyDescent="0.25">
      <c r="A804" s="59" t="s">
        <v>86</v>
      </c>
      <c r="B804" s="58">
        <v>45960</v>
      </c>
      <c r="C804" s="96"/>
      <c r="D804" s="58"/>
      <c r="E804" s="58">
        <f t="shared" si="147"/>
        <v>45960</v>
      </c>
    </row>
    <row r="805" spans="1:6" x14ac:dyDescent="0.25">
      <c r="A805" s="59" t="s">
        <v>12</v>
      </c>
      <c r="B805" s="58">
        <v>5248</v>
      </c>
      <c r="C805" s="96"/>
      <c r="D805" s="58"/>
      <c r="E805" s="58">
        <f t="shared" si="147"/>
        <v>5248</v>
      </c>
    </row>
    <row r="806" spans="1:6" x14ac:dyDescent="0.25">
      <c r="A806" s="59" t="s">
        <v>13</v>
      </c>
      <c r="B806" s="58">
        <v>1600</v>
      </c>
      <c r="C806" s="96"/>
      <c r="D806" s="58"/>
      <c r="E806" s="58">
        <f t="shared" si="147"/>
        <v>1600</v>
      </c>
    </row>
    <row r="807" spans="1:6" x14ac:dyDescent="0.25">
      <c r="A807" s="59" t="s">
        <v>36</v>
      </c>
      <c r="B807" s="58">
        <v>1568</v>
      </c>
      <c r="C807" s="96"/>
      <c r="D807" s="58"/>
      <c r="E807" s="58">
        <f t="shared" si="147"/>
        <v>1568</v>
      </c>
    </row>
    <row r="808" spans="1:6" x14ac:dyDescent="0.25">
      <c r="A808" s="59" t="s">
        <v>5</v>
      </c>
      <c r="B808" s="58"/>
      <c r="C808" s="96"/>
      <c r="D808" s="58"/>
      <c r="E808" s="58">
        <f t="shared" si="147"/>
        <v>0</v>
      </c>
    </row>
    <row r="809" spans="1:6" x14ac:dyDescent="0.25">
      <c r="F809" s="29">
        <f>SUM(E791:E808)</f>
        <v>1231884.71</v>
      </c>
    </row>
    <row r="810" spans="1:6" ht="18.75" x14ac:dyDescent="0.4">
      <c r="A810" s="32" t="s">
        <v>111</v>
      </c>
      <c r="B810" s="40"/>
      <c r="C810" s="40"/>
      <c r="D810" s="40"/>
      <c r="E810" s="51"/>
      <c r="F810" s="29"/>
    </row>
    <row r="811" spans="1:6" x14ac:dyDescent="0.25">
      <c r="A811" s="59"/>
      <c r="B811" s="58"/>
      <c r="C811" s="58"/>
      <c r="D811" s="58"/>
      <c r="E811" s="58">
        <f t="shared" ref="E811:E812" si="148">+B811+C811+D811</f>
        <v>0</v>
      </c>
      <c r="F811" s="29"/>
    </row>
    <row r="812" spans="1:6" x14ac:dyDescent="0.25">
      <c r="A812" s="59"/>
      <c r="B812" s="58"/>
      <c r="C812" s="58"/>
      <c r="D812" s="58"/>
      <c r="E812" s="58">
        <f t="shared" si="148"/>
        <v>0</v>
      </c>
      <c r="F812" s="29"/>
    </row>
    <row r="813" spans="1:6" ht="18.75" x14ac:dyDescent="0.4">
      <c r="A813" s="32" t="s">
        <v>112</v>
      </c>
      <c r="B813" s="40"/>
      <c r="C813" s="40"/>
      <c r="D813" s="40"/>
      <c r="E813" s="51"/>
      <c r="F813" s="29"/>
    </row>
    <row r="814" spans="1:6" x14ac:dyDescent="0.25">
      <c r="A814" s="60" t="s">
        <v>157</v>
      </c>
      <c r="B814" s="58">
        <v>500000</v>
      </c>
      <c r="C814" s="58"/>
      <c r="D814" s="58"/>
      <c r="E814" s="58">
        <f t="shared" ref="E814:E815" si="149">+B814+C814+D814</f>
        <v>500000</v>
      </c>
      <c r="F814" s="29">
        <f>+E814</f>
        <v>500000</v>
      </c>
    </row>
    <row r="815" spans="1:6" x14ac:dyDescent="0.25">
      <c r="A815" s="60" t="s">
        <v>75</v>
      </c>
      <c r="B815" s="61">
        <v>0</v>
      </c>
      <c r="C815" s="58"/>
      <c r="D815" s="58"/>
      <c r="E815" s="58">
        <f t="shared" si="149"/>
        <v>0</v>
      </c>
      <c r="F815" s="29"/>
    </row>
    <row r="816" spans="1:6" ht="18.75" x14ac:dyDescent="0.4">
      <c r="A816" s="34" t="s">
        <v>113</v>
      </c>
      <c r="B816" s="40"/>
      <c r="C816" s="40"/>
      <c r="D816" s="40"/>
      <c r="E816" s="51"/>
      <c r="F816" s="29"/>
    </row>
    <row r="817" spans="1:34" x14ac:dyDescent="0.25">
      <c r="A817" s="59" t="s">
        <v>126</v>
      </c>
      <c r="B817" s="58">
        <v>8118.38</v>
      </c>
      <c r="C817" s="58"/>
      <c r="D817" s="58"/>
      <c r="E817" s="58">
        <f t="shared" ref="E817" si="150">+B817+C817+D817</f>
        <v>8118.38</v>
      </c>
      <c r="F817" s="29">
        <f>+E817</f>
        <v>8118.38</v>
      </c>
    </row>
    <row r="818" spans="1:34" x14ac:dyDescent="0.25">
      <c r="F818" s="29"/>
    </row>
    <row r="819" spans="1:34" x14ac:dyDescent="0.25">
      <c r="F819" s="29"/>
    </row>
    <row r="820" spans="1:34" x14ac:dyDescent="0.25">
      <c r="F820" s="29"/>
    </row>
    <row r="821" spans="1:34" ht="18.75" x14ac:dyDescent="0.4">
      <c r="A821" s="168" t="s">
        <v>87</v>
      </c>
      <c r="B821" s="168"/>
      <c r="C821" s="168"/>
      <c r="D821" s="168"/>
      <c r="E821" s="168"/>
      <c r="F821" s="84"/>
      <c r="G821" s="84"/>
    </row>
    <row r="823" spans="1:34" ht="30" x14ac:dyDescent="0.25">
      <c r="A823" s="33" t="s">
        <v>105</v>
      </c>
      <c r="B823" s="38" t="s">
        <v>106</v>
      </c>
      <c r="C823" s="38" t="s">
        <v>107</v>
      </c>
      <c r="D823" s="38" t="s">
        <v>108</v>
      </c>
      <c r="E823" s="38" t="s">
        <v>109</v>
      </c>
    </row>
    <row r="824" spans="1:34" ht="18.75" x14ac:dyDescent="0.4">
      <c r="A824" s="32" t="s">
        <v>110</v>
      </c>
      <c r="B824" s="37">
        <f>SUM(B825:B853)</f>
        <v>516787.16</v>
      </c>
      <c r="C824" s="37">
        <f t="shared" ref="C824:E824" si="151">SUM(C825:C853)</f>
        <v>0</v>
      </c>
      <c r="D824" s="37">
        <f t="shared" si="151"/>
        <v>0</v>
      </c>
      <c r="E824" s="37">
        <f t="shared" si="151"/>
        <v>516787.16</v>
      </c>
    </row>
    <row r="825" spans="1:34" s="3" customFormat="1" ht="11.25" customHeight="1" x14ac:dyDescent="0.15">
      <c r="A825" s="59" t="s">
        <v>1</v>
      </c>
      <c r="B825" s="52">
        <v>46927</v>
      </c>
      <c r="C825" s="96"/>
      <c r="D825" s="58"/>
      <c r="E825" s="58">
        <f>+B825+C825+D825</f>
        <v>46927</v>
      </c>
      <c r="F825" s="4"/>
      <c r="G825" s="4"/>
      <c r="I825" s="4"/>
      <c r="J825" s="16"/>
      <c r="K825" s="4"/>
      <c r="L825" s="16"/>
      <c r="M825" s="4"/>
      <c r="N825" s="16"/>
      <c r="O825" s="4"/>
      <c r="P825" s="16"/>
      <c r="Q825" s="4"/>
      <c r="R825" s="16"/>
      <c r="S825" s="4"/>
      <c r="T825" s="16"/>
      <c r="U825" s="4"/>
      <c r="V825" s="16"/>
      <c r="W825" s="4"/>
      <c r="X825" s="16"/>
      <c r="Y825" s="4"/>
      <c r="Z825" s="16"/>
      <c r="AA825" s="4"/>
      <c r="AB825" s="16"/>
      <c r="AC825" s="4"/>
      <c r="AD825" s="16"/>
      <c r="AE825" s="4"/>
      <c r="AF825" s="16"/>
      <c r="AG825" s="4"/>
    </row>
    <row r="826" spans="1:34" s="3" customFormat="1" ht="11.25" customHeight="1" x14ac:dyDescent="0.15">
      <c r="A826" s="59" t="s">
        <v>2</v>
      </c>
      <c r="B826" s="52">
        <v>70039.399999999994</v>
      </c>
      <c r="C826" s="97"/>
      <c r="D826" s="58"/>
      <c r="E826" s="58">
        <f t="shared" ref="E826:E844" si="152">+B826+C826+D826</f>
        <v>70039.399999999994</v>
      </c>
      <c r="F826" s="8"/>
      <c r="G826" s="8"/>
      <c r="H826" s="9"/>
      <c r="I826" s="8"/>
      <c r="J826" s="18"/>
      <c r="K826" s="8"/>
      <c r="L826" s="18"/>
      <c r="M826" s="8"/>
      <c r="N826" s="18"/>
      <c r="O826" s="8"/>
      <c r="P826" s="18"/>
      <c r="Q826" s="8"/>
      <c r="R826" s="18"/>
      <c r="S826" s="8"/>
      <c r="T826" s="18"/>
      <c r="U826" s="8"/>
      <c r="V826" s="18"/>
      <c r="W826" s="8"/>
      <c r="X826" s="18"/>
      <c r="Y826" s="8"/>
      <c r="Z826" s="18"/>
      <c r="AA826" s="8"/>
      <c r="AB826" s="18"/>
      <c r="AC826" s="8"/>
      <c r="AD826" s="18"/>
      <c r="AE826" s="8"/>
      <c r="AF826" s="18"/>
      <c r="AG826" s="8"/>
      <c r="AH826" s="7"/>
    </row>
    <row r="827" spans="1:34" s="3" customFormat="1" ht="11.25" customHeight="1" x14ac:dyDescent="0.15">
      <c r="A827" s="59" t="s">
        <v>4</v>
      </c>
      <c r="B827" s="58">
        <v>1341</v>
      </c>
      <c r="C827" s="97"/>
      <c r="D827" s="58"/>
      <c r="E827" s="58">
        <f t="shared" si="152"/>
        <v>1341</v>
      </c>
      <c r="F827" s="8"/>
      <c r="G827" s="8"/>
      <c r="H827" s="9"/>
      <c r="I827" s="8"/>
      <c r="J827" s="18"/>
      <c r="K827" s="8"/>
      <c r="L827" s="18"/>
      <c r="M827" s="8"/>
      <c r="N827" s="18"/>
      <c r="O827" s="8"/>
      <c r="P827" s="18"/>
      <c r="Q827" s="8"/>
      <c r="R827" s="18"/>
      <c r="S827" s="8"/>
      <c r="T827" s="18"/>
      <c r="U827" s="8"/>
      <c r="V827" s="18"/>
      <c r="W827" s="8"/>
      <c r="X827" s="18"/>
      <c r="Y827" s="8"/>
      <c r="Z827" s="18"/>
      <c r="AA827" s="8"/>
      <c r="AB827" s="18"/>
      <c r="AC827" s="8"/>
      <c r="AD827" s="18"/>
      <c r="AE827" s="8"/>
      <c r="AF827" s="18"/>
      <c r="AG827" s="8"/>
      <c r="AH827" s="7"/>
    </row>
    <row r="828" spans="1:34" s="3" customFormat="1" ht="11.25" customHeight="1" x14ac:dyDescent="0.15">
      <c r="A828" s="59" t="s">
        <v>3</v>
      </c>
      <c r="B828" s="52">
        <v>29549</v>
      </c>
      <c r="C828" s="97"/>
      <c r="D828" s="58"/>
      <c r="E828" s="58">
        <f t="shared" si="152"/>
        <v>29549</v>
      </c>
      <c r="F828" s="8"/>
      <c r="G828" s="8"/>
      <c r="H828" s="9"/>
      <c r="I828" s="8"/>
      <c r="J828" s="18"/>
      <c r="K828" s="8"/>
      <c r="L828" s="18"/>
      <c r="M828" s="8"/>
      <c r="N828" s="18"/>
      <c r="O828" s="8"/>
      <c r="P828" s="18"/>
      <c r="Q828" s="8"/>
      <c r="R828" s="18"/>
      <c r="S828" s="8"/>
      <c r="T828" s="18"/>
      <c r="U828" s="8"/>
      <c r="V828" s="18"/>
      <c r="W828" s="8"/>
      <c r="X828" s="18"/>
      <c r="Y828" s="8"/>
      <c r="Z828" s="18"/>
      <c r="AA828" s="8"/>
      <c r="AB828" s="18"/>
      <c r="AC828" s="8"/>
      <c r="AD828" s="18"/>
      <c r="AE828" s="8"/>
      <c r="AF828" s="18"/>
      <c r="AG828" s="8"/>
      <c r="AH828" s="7"/>
    </row>
    <row r="829" spans="1:34" s="3" customFormat="1" ht="11.25" customHeight="1" x14ac:dyDescent="0.15">
      <c r="A829" s="59" t="s">
        <v>39</v>
      </c>
      <c r="B829" s="58">
        <v>21671</v>
      </c>
      <c r="C829" s="97"/>
      <c r="D829" s="58"/>
      <c r="E829" s="58">
        <f t="shared" si="152"/>
        <v>21671</v>
      </c>
      <c r="F829" s="8"/>
      <c r="G829" s="8"/>
      <c r="H829" s="9"/>
      <c r="I829" s="8"/>
      <c r="J829" s="18"/>
      <c r="K829" s="8"/>
      <c r="L829" s="18"/>
      <c r="M829" s="8"/>
      <c r="N829" s="18"/>
      <c r="O829" s="8"/>
      <c r="P829" s="18"/>
      <c r="Q829" s="8"/>
      <c r="R829" s="18"/>
      <c r="S829" s="8"/>
      <c r="T829" s="18"/>
      <c r="U829" s="8"/>
      <c r="V829" s="18"/>
      <c r="W829" s="8"/>
      <c r="X829" s="18"/>
      <c r="Y829" s="8"/>
      <c r="Z829" s="18"/>
      <c r="AA829" s="8"/>
      <c r="AB829" s="18"/>
      <c r="AC829" s="8"/>
      <c r="AD829" s="18"/>
      <c r="AE829" s="8"/>
      <c r="AF829" s="18"/>
      <c r="AG829" s="8"/>
      <c r="AH829" s="7"/>
    </row>
    <row r="830" spans="1:34" x14ac:dyDescent="0.25">
      <c r="A830" s="59" t="s">
        <v>6</v>
      </c>
      <c r="B830" s="58">
        <v>13714</v>
      </c>
      <c r="C830" s="96"/>
      <c r="D830" s="58"/>
      <c r="E830" s="58">
        <f t="shared" si="152"/>
        <v>13714</v>
      </c>
    </row>
    <row r="831" spans="1:34" x14ac:dyDescent="0.25">
      <c r="A831" s="59" t="s">
        <v>19</v>
      </c>
      <c r="B831" s="58">
        <v>2781</v>
      </c>
      <c r="C831" s="96"/>
      <c r="D831" s="58"/>
      <c r="E831" s="58">
        <f t="shared" si="152"/>
        <v>2781</v>
      </c>
    </row>
    <row r="832" spans="1:34" x14ac:dyDescent="0.25">
      <c r="A832" s="59" t="s">
        <v>88</v>
      </c>
      <c r="B832" s="58">
        <v>6357</v>
      </c>
      <c r="C832" s="96"/>
      <c r="D832" s="58"/>
      <c r="E832" s="58">
        <f t="shared" si="152"/>
        <v>6357</v>
      </c>
    </row>
    <row r="833" spans="1:8" x14ac:dyDescent="0.25">
      <c r="A833" s="87" t="s">
        <v>77</v>
      </c>
      <c r="B833" s="52">
        <v>10069.700000000001</v>
      </c>
      <c r="C833" s="96"/>
      <c r="D833" s="58"/>
      <c r="E833" s="58">
        <f t="shared" si="152"/>
        <v>10069.700000000001</v>
      </c>
    </row>
    <row r="834" spans="1:8" x14ac:dyDescent="0.25">
      <c r="A834" s="59" t="s">
        <v>67</v>
      </c>
      <c r="B834" s="52">
        <v>1858</v>
      </c>
      <c r="C834" s="96"/>
      <c r="D834" s="58"/>
      <c r="E834" s="58">
        <f t="shared" si="152"/>
        <v>1858</v>
      </c>
    </row>
    <row r="835" spans="1:8" x14ac:dyDescent="0.25">
      <c r="A835" s="59" t="s">
        <v>9</v>
      </c>
      <c r="B835" s="58">
        <v>2880</v>
      </c>
      <c r="C835" s="96"/>
      <c r="D835" s="58"/>
      <c r="E835" s="58">
        <f t="shared" si="152"/>
        <v>2880</v>
      </c>
    </row>
    <row r="836" spans="1:8" x14ac:dyDescent="0.25">
      <c r="A836" s="59" t="s">
        <v>62</v>
      </c>
      <c r="B836" s="58">
        <v>1080</v>
      </c>
      <c r="C836" s="96"/>
      <c r="D836" s="58"/>
      <c r="E836" s="58">
        <f t="shared" si="152"/>
        <v>1080</v>
      </c>
    </row>
    <row r="837" spans="1:8" x14ac:dyDescent="0.25">
      <c r="A837" s="59" t="s">
        <v>10</v>
      </c>
      <c r="B837" s="58">
        <v>243454</v>
      </c>
      <c r="C837" s="96"/>
      <c r="D837" s="58"/>
      <c r="E837" s="58">
        <f t="shared" si="152"/>
        <v>243454</v>
      </c>
    </row>
    <row r="838" spans="1:8" x14ac:dyDescent="0.25">
      <c r="A838" s="59" t="s">
        <v>89</v>
      </c>
      <c r="B838" s="58">
        <v>2803.5</v>
      </c>
      <c r="C838" s="96"/>
      <c r="D838" s="58"/>
      <c r="E838" s="58">
        <f t="shared" si="152"/>
        <v>2803.5</v>
      </c>
    </row>
    <row r="839" spans="1:8" x14ac:dyDescent="0.25">
      <c r="A839" s="59" t="s">
        <v>12</v>
      </c>
      <c r="B839" s="58">
        <v>2952</v>
      </c>
      <c r="C839" s="96"/>
      <c r="D839" s="58"/>
      <c r="E839" s="58">
        <f t="shared" si="152"/>
        <v>2952</v>
      </c>
    </row>
    <row r="840" spans="1:8" x14ac:dyDescent="0.25">
      <c r="A840" s="59" t="s">
        <v>13</v>
      </c>
      <c r="B840" s="58">
        <v>900</v>
      </c>
      <c r="C840" s="96"/>
      <c r="D840" s="58"/>
      <c r="E840" s="58">
        <f t="shared" si="152"/>
        <v>900</v>
      </c>
    </row>
    <row r="841" spans="1:8" x14ac:dyDescent="0.25">
      <c r="A841" s="59" t="s">
        <v>69</v>
      </c>
      <c r="B841" s="52">
        <v>37514</v>
      </c>
      <c r="C841" s="96"/>
      <c r="D841" s="58"/>
      <c r="E841" s="58">
        <f t="shared" si="152"/>
        <v>37514</v>
      </c>
    </row>
    <row r="842" spans="1:8" x14ac:dyDescent="0.25">
      <c r="A842" s="87" t="s">
        <v>70</v>
      </c>
      <c r="B842" s="52">
        <v>20014.560000000001</v>
      </c>
      <c r="C842" s="96"/>
      <c r="D842" s="58"/>
      <c r="E842" s="58">
        <f t="shared" si="152"/>
        <v>20014.560000000001</v>
      </c>
    </row>
    <row r="843" spans="1:8" x14ac:dyDescent="0.25">
      <c r="A843" s="59" t="s">
        <v>36</v>
      </c>
      <c r="B843" s="58">
        <v>882</v>
      </c>
      <c r="C843" s="96"/>
      <c r="D843" s="58"/>
      <c r="E843" s="58">
        <f t="shared" si="152"/>
        <v>882</v>
      </c>
    </row>
    <row r="844" spans="1:8" x14ac:dyDescent="0.25">
      <c r="A844" s="59" t="s">
        <v>5</v>
      </c>
      <c r="B844" s="58"/>
      <c r="C844" s="96"/>
      <c r="D844" s="58"/>
      <c r="E844" s="58">
        <f t="shared" si="152"/>
        <v>0</v>
      </c>
    </row>
    <row r="845" spans="1:8" x14ac:dyDescent="0.25">
      <c r="F845" s="29">
        <f>SUM(E825:E844)</f>
        <v>516787.16</v>
      </c>
    </row>
    <row r="846" spans="1:8" ht="18.75" x14ac:dyDescent="0.4">
      <c r="A846" s="32" t="s">
        <v>111</v>
      </c>
      <c r="B846" s="40"/>
      <c r="C846" s="40"/>
      <c r="D846" s="40"/>
      <c r="E846" s="51"/>
      <c r="F846" s="29"/>
    </row>
    <row r="847" spans="1:8" x14ac:dyDescent="0.25">
      <c r="A847" s="59"/>
      <c r="B847" s="58"/>
      <c r="C847" s="58"/>
      <c r="D847" s="58"/>
      <c r="E847" s="58">
        <f t="shared" ref="E847:E848" si="153">+B847+C847+D847</f>
        <v>0</v>
      </c>
      <c r="F847" s="29"/>
      <c r="H847">
        <f>1749250.28+500000+8118.38</f>
        <v>2257368.66</v>
      </c>
    </row>
    <row r="848" spans="1:8" x14ac:dyDescent="0.25">
      <c r="A848" s="59"/>
      <c r="B848" s="58"/>
      <c r="C848" s="58"/>
      <c r="D848" s="58"/>
      <c r="E848" s="58">
        <f t="shared" si="153"/>
        <v>0</v>
      </c>
      <c r="F848" s="29" t="s">
        <v>158</v>
      </c>
      <c r="G848" s="29">
        <f>+F809+F814+F817</f>
        <v>1740003.0899999999</v>
      </c>
    </row>
    <row r="849" spans="1:34" ht="18.75" x14ac:dyDescent="0.4">
      <c r="A849" s="32" t="s">
        <v>112</v>
      </c>
      <c r="B849" s="40"/>
      <c r="C849" s="40"/>
      <c r="D849" s="40"/>
      <c r="E849" s="51"/>
      <c r="F849" s="29" t="s">
        <v>87</v>
      </c>
      <c r="G849" s="29">
        <f>+F845</f>
        <v>516787.16</v>
      </c>
      <c r="H849" s="29">
        <f>SUM(G848:G849)</f>
        <v>2256790.25</v>
      </c>
    </row>
    <row r="850" spans="1:34" x14ac:dyDescent="0.25">
      <c r="A850" s="60" t="s">
        <v>157</v>
      </c>
      <c r="B850" s="58">
        <v>0</v>
      </c>
      <c r="C850" s="58"/>
      <c r="D850" s="58"/>
      <c r="E850" s="58">
        <f t="shared" ref="E850:E851" si="154">+B850+C850+D850</f>
        <v>0</v>
      </c>
      <c r="F850" s="29"/>
      <c r="H850" s="29">
        <f>+H847-H849</f>
        <v>578.41000000014901</v>
      </c>
    </row>
    <row r="851" spans="1:34" x14ac:dyDescent="0.25">
      <c r="A851" s="60" t="s">
        <v>75</v>
      </c>
      <c r="B851" s="61">
        <v>0</v>
      </c>
      <c r="C851" s="58"/>
      <c r="D851" s="58"/>
      <c r="E851" s="58">
        <f t="shared" si="154"/>
        <v>0</v>
      </c>
      <c r="F851" s="29"/>
    </row>
    <row r="852" spans="1:34" ht="18.75" x14ac:dyDescent="0.4">
      <c r="A852" s="34" t="s">
        <v>113</v>
      </c>
      <c r="B852" s="40"/>
      <c r="C852" s="40"/>
      <c r="D852" s="40"/>
      <c r="E852" s="51"/>
      <c r="F852" s="29"/>
    </row>
    <row r="853" spans="1:34" x14ac:dyDescent="0.25">
      <c r="A853" s="59"/>
      <c r="B853" s="58"/>
      <c r="C853" s="58"/>
      <c r="D853" s="58"/>
      <c r="E853" s="58">
        <f t="shared" ref="E853" si="155">+B853+C853+D853</f>
        <v>0</v>
      </c>
      <c r="F853" s="29"/>
    </row>
    <row r="854" spans="1:34" x14ac:dyDescent="0.25">
      <c r="F854" s="29"/>
    </row>
    <row r="855" spans="1:34" x14ac:dyDescent="0.25">
      <c r="F855" s="29"/>
    </row>
    <row r="856" spans="1:34" x14ac:dyDescent="0.25">
      <c r="F856" s="29"/>
    </row>
    <row r="857" spans="1:34" ht="18.75" x14ac:dyDescent="0.4">
      <c r="A857" s="168" t="s">
        <v>90</v>
      </c>
      <c r="B857" s="168"/>
      <c r="C857" s="168"/>
      <c r="D857" s="168"/>
      <c r="E857" s="168"/>
      <c r="F857" s="84"/>
      <c r="G857" s="84"/>
    </row>
    <row r="859" spans="1:34" ht="30" x14ac:dyDescent="0.25">
      <c r="A859" s="33" t="s">
        <v>105</v>
      </c>
      <c r="B859" s="38" t="s">
        <v>106</v>
      </c>
      <c r="C859" s="38" t="s">
        <v>107</v>
      </c>
      <c r="D859" s="38" t="s">
        <v>108</v>
      </c>
      <c r="E859" s="38" t="s">
        <v>109</v>
      </c>
    </row>
    <row r="860" spans="1:34" ht="18.75" x14ac:dyDescent="0.4">
      <c r="A860" s="32" t="s">
        <v>110</v>
      </c>
      <c r="B860" s="37">
        <f>SUM(B861:B888)</f>
        <v>2425902.4900000002</v>
      </c>
      <c r="C860" s="37">
        <f t="shared" ref="C860:E860" si="156">SUM(C861:C888)</f>
        <v>507158.23</v>
      </c>
      <c r="D860" s="37">
        <f t="shared" si="156"/>
        <v>0</v>
      </c>
      <c r="E860" s="37">
        <f t="shared" si="156"/>
        <v>2933060.72</v>
      </c>
    </row>
    <row r="861" spans="1:34" s="3" customFormat="1" ht="11.25" customHeight="1" x14ac:dyDescent="0.15">
      <c r="A861" s="59" t="s">
        <v>1</v>
      </c>
      <c r="B861" s="120">
        <f>62036.65-C861</f>
        <v>57673.200000000004</v>
      </c>
      <c r="C861" s="121">
        <v>4363.45</v>
      </c>
      <c r="D861" s="58"/>
      <c r="E861" s="58">
        <f>+B861+C861+D861</f>
        <v>62036.65</v>
      </c>
      <c r="F861" s="4"/>
      <c r="G861" s="4"/>
      <c r="I861" s="4"/>
      <c r="J861" s="16"/>
      <c r="K861" s="4"/>
      <c r="L861" s="16"/>
      <c r="M861" s="4"/>
      <c r="N861" s="16"/>
      <c r="O861" s="4"/>
      <c r="P861" s="16"/>
      <c r="Q861" s="4"/>
      <c r="R861" s="16"/>
      <c r="S861" s="4"/>
      <c r="T861" s="16"/>
      <c r="U861" s="4"/>
      <c r="V861" s="16"/>
      <c r="W861" s="4"/>
      <c r="X861" s="16"/>
      <c r="Y861" s="4"/>
      <c r="Z861" s="16"/>
      <c r="AA861" s="4"/>
      <c r="AB861" s="16"/>
      <c r="AC861" s="4"/>
      <c r="AD861" s="16"/>
      <c r="AE861" s="4"/>
      <c r="AF861" s="16"/>
      <c r="AG861" s="4"/>
    </row>
    <row r="862" spans="1:34" s="3" customFormat="1" ht="11.25" customHeight="1" x14ac:dyDescent="0.15">
      <c r="A862" s="59" t="s">
        <v>2</v>
      </c>
      <c r="B862" s="120">
        <f>47985.7-C862</f>
        <v>37120.579999999994</v>
      </c>
      <c r="C862" s="122">
        <v>10865.12</v>
      </c>
      <c r="D862" s="58"/>
      <c r="E862" s="58">
        <f t="shared" ref="E862:E879" si="157">+B862+C862+D862</f>
        <v>47985.7</v>
      </c>
      <c r="F862" s="8"/>
      <c r="G862" s="8"/>
      <c r="H862" s="9"/>
      <c r="I862" s="8"/>
      <c r="J862" s="18"/>
      <c r="K862" s="8"/>
      <c r="L862" s="18"/>
      <c r="M862" s="8"/>
      <c r="N862" s="18"/>
      <c r="O862" s="8"/>
      <c r="P862" s="18"/>
      <c r="Q862" s="8"/>
      <c r="R862" s="18"/>
      <c r="S862" s="8"/>
      <c r="T862" s="18"/>
      <c r="U862" s="8"/>
      <c r="V862" s="18"/>
      <c r="W862" s="8"/>
      <c r="X862" s="18"/>
      <c r="Y862" s="8"/>
      <c r="Z862" s="18"/>
      <c r="AA862" s="8"/>
      <c r="AB862" s="18"/>
      <c r="AC862" s="8"/>
      <c r="AD862" s="18"/>
      <c r="AE862" s="8"/>
      <c r="AF862" s="18"/>
      <c r="AG862" s="8"/>
      <c r="AH862" s="7"/>
    </row>
    <row r="863" spans="1:34" s="3" customFormat="1" ht="11.25" customHeight="1" x14ac:dyDescent="0.15">
      <c r="A863" s="59" t="s">
        <v>3</v>
      </c>
      <c r="B863" s="120">
        <f>241710.94-C863</f>
        <v>208838.96</v>
      </c>
      <c r="C863" s="122">
        <v>32871.980000000003</v>
      </c>
      <c r="D863" s="58"/>
      <c r="E863" s="58">
        <f t="shared" si="157"/>
        <v>241710.94</v>
      </c>
      <c r="F863" s="8"/>
      <c r="G863" s="8"/>
      <c r="H863" s="9"/>
      <c r="I863" s="8"/>
      <c r="J863" s="18"/>
      <c r="K863" s="8"/>
      <c r="L863" s="18"/>
      <c r="M863" s="8"/>
      <c r="N863" s="18"/>
      <c r="O863" s="8"/>
      <c r="P863" s="18"/>
      <c r="Q863" s="8"/>
      <c r="R863" s="18"/>
      <c r="S863" s="8"/>
      <c r="T863" s="18"/>
      <c r="U863" s="8"/>
      <c r="V863" s="18"/>
      <c r="W863" s="8"/>
      <c r="X863" s="18"/>
      <c r="Y863" s="8"/>
      <c r="Z863" s="18"/>
      <c r="AA863" s="8"/>
      <c r="AB863" s="18"/>
      <c r="AC863" s="8"/>
      <c r="AD863" s="18"/>
      <c r="AE863" s="8"/>
      <c r="AF863" s="18"/>
      <c r="AG863" s="8"/>
      <c r="AH863" s="7"/>
    </row>
    <row r="864" spans="1:34" s="3" customFormat="1" ht="11.25" customHeight="1" x14ac:dyDescent="0.15">
      <c r="A864" s="59" t="s">
        <v>18</v>
      </c>
      <c r="B864" s="121">
        <f>1327724.5-C864</f>
        <v>1201712.78</v>
      </c>
      <c r="C864" s="122">
        <v>126011.72</v>
      </c>
      <c r="D864" s="58"/>
      <c r="E864" s="58">
        <f t="shared" si="157"/>
        <v>1327724.5</v>
      </c>
      <c r="F864" s="8"/>
      <c r="G864" s="8"/>
      <c r="H864" s="9"/>
      <c r="I864" s="8"/>
      <c r="J864" s="18"/>
      <c r="K864" s="8"/>
      <c r="L864" s="18"/>
      <c r="M864" s="8"/>
      <c r="N864" s="18"/>
      <c r="O864" s="8"/>
      <c r="P864" s="18"/>
      <c r="Q864" s="8"/>
      <c r="R864" s="18"/>
      <c r="S864" s="8"/>
      <c r="T864" s="18"/>
      <c r="U864" s="8"/>
      <c r="V864" s="18"/>
      <c r="W864" s="8"/>
      <c r="X864" s="18"/>
      <c r="Y864" s="8"/>
      <c r="Z864" s="18"/>
      <c r="AA864" s="8"/>
      <c r="AB864" s="18"/>
      <c r="AC864" s="8"/>
      <c r="AD864" s="18"/>
      <c r="AE864" s="8"/>
      <c r="AF864" s="18"/>
      <c r="AG864" s="8"/>
      <c r="AH864" s="7"/>
    </row>
    <row r="865" spans="1:34" s="3" customFormat="1" ht="11.25" customHeight="1" x14ac:dyDescent="0.15">
      <c r="A865" s="59" t="s">
        <v>6</v>
      </c>
      <c r="B865" s="123">
        <v>107640.5</v>
      </c>
      <c r="C865" s="120"/>
      <c r="D865" s="58"/>
      <c r="E865" s="58">
        <f t="shared" si="157"/>
        <v>107640.5</v>
      </c>
      <c r="F865" s="8"/>
      <c r="G865" s="8"/>
      <c r="H865" s="9"/>
      <c r="I865" s="8"/>
      <c r="J865" s="18"/>
      <c r="K865" s="8"/>
      <c r="L865" s="18"/>
      <c r="M865" s="8"/>
      <c r="N865" s="18"/>
      <c r="O865" s="8"/>
      <c r="P865" s="18"/>
      <c r="Q865" s="8"/>
      <c r="R865" s="18"/>
      <c r="S865" s="8"/>
      <c r="T865" s="18"/>
      <c r="U865" s="8"/>
      <c r="V865" s="18"/>
      <c r="W865" s="8"/>
      <c r="X865" s="18"/>
      <c r="Y865" s="8"/>
      <c r="Z865" s="18"/>
      <c r="AA865" s="8"/>
      <c r="AB865" s="18"/>
      <c r="AC865" s="8"/>
      <c r="AD865" s="18"/>
      <c r="AE865" s="8"/>
      <c r="AF865" s="18"/>
      <c r="AG865" s="8"/>
      <c r="AH865" s="7"/>
    </row>
    <row r="866" spans="1:34" s="3" customFormat="1" ht="11.25" customHeight="1" x14ac:dyDescent="0.15">
      <c r="A866" s="59" t="s">
        <v>88</v>
      </c>
      <c r="B866" s="123">
        <v>9760.2099999999991</v>
      </c>
      <c r="C866" s="120"/>
      <c r="D866" s="58"/>
      <c r="E866" s="58">
        <f t="shared" si="157"/>
        <v>9760.2099999999991</v>
      </c>
      <c r="F866" s="8"/>
      <c r="G866" s="8"/>
      <c r="H866" s="9"/>
      <c r="I866" s="8"/>
      <c r="J866" s="18"/>
      <c r="K866" s="8"/>
      <c r="L866" s="18"/>
      <c r="M866" s="8"/>
      <c r="N866" s="18"/>
      <c r="O866" s="8"/>
      <c r="P866" s="18"/>
      <c r="Q866" s="8"/>
      <c r="R866" s="18"/>
      <c r="S866" s="8"/>
      <c r="T866" s="18"/>
      <c r="U866" s="8"/>
      <c r="V866" s="18"/>
      <c r="W866" s="8"/>
      <c r="X866" s="18"/>
      <c r="Y866" s="8"/>
      <c r="Z866" s="18"/>
      <c r="AA866" s="8"/>
      <c r="AB866" s="18"/>
      <c r="AC866" s="8"/>
      <c r="AD866" s="18"/>
      <c r="AE866" s="8"/>
      <c r="AF866" s="18"/>
      <c r="AG866" s="8"/>
      <c r="AH866" s="7"/>
    </row>
    <row r="867" spans="1:34" s="3" customFormat="1" ht="11.25" customHeight="1" x14ac:dyDescent="0.15">
      <c r="A867" s="87" t="s">
        <v>77</v>
      </c>
      <c r="B867" s="123">
        <v>5045.45</v>
      </c>
      <c r="C867" s="122">
        <v>73313.64</v>
      </c>
      <c r="D867" s="58"/>
      <c r="E867" s="58">
        <f t="shared" si="157"/>
        <v>78359.09</v>
      </c>
      <c r="F867" s="8"/>
      <c r="G867" s="8"/>
      <c r="H867" s="9"/>
      <c r="I867" s="8"/>
      <c r="J867" s="18"/>
      <c r="K867" s="8"/>
      <c r="L867" s="18"/>
      <c r="M867" s="8"/>
      <c r="N867" s="18"/>
      <c r="O867" s="8"/>
      <c r="P867" s="18"/>
      <c r="Q867" s="8"/>
      <c r="R867" s="18"/>
      <c r="S867" s="8"/>
      <c r="T867" s="18"/>
      <c r="U867" s="8"/>
      <c r="V867" s="18"/>
      <c r="W867" s="8"/>
      <c r="X867" s="18"/>
      <c r="Y867" s="8"/>
      <c r="Z867" s="18"/>
      <c r="AA867" s="8"/>
      <c r="AB867" s="18"/>
      <c r="AC867" s="8"/>
      <c r="AD867" s="18"/>
      <c r="AE867" s="8"/>
      <c r="AF867" s="18"/>
      <c r="AG867" s="8"/>
      <c r="AH867" s="7"/>
    </row>
    <row r="868" spans="1:34" s="3" customFormat="1" ht="11.25" customHeight="1" x14ac:dyDescent="0.15">
      <c r="A868" s="59" t="s">
        <v>66</v>
      </c>
      <c r="B868" s="120">
        <v>9000</v>
      </c>
      <c r="C868" s="120"/>
      <c r="D868" s="58"/>
      <c r="E868" s="58">
        <f t="shared" si="157"/>
        <v>9000</v>
      </c>
      <c r="F868" s="8"/>
      <c r="G868" s="8"/>
      <c r="H868" s="9"/>
      <c r="I868" s="8"/>
      <c r="J868" s="18"/>
      <c r="K868" s="8"/>
      <c r="L868" s="18"/>
      <c r="M868" s="8"/>
      <c r="N868" s="18"/>
      <c r="O868" s="8"/>
      <c r="P868" s="18"/>
      <c r="Q868" s="8"/>
      <c r="R868" s="18"/>
      <c r="S868" s="8"/>
      <c r="T868" s="18"/>
      <c r="U868" s="8"/>
      <c r="V868" s="18"/>
      <c r="W868" s="8"/>
      <c r="X868" s="18"/>
      <c r="Y868" s="8"/>
      <c r="Z868" s="18"/>
      <c r="AA868" s="8"/>
      <c r="AB868" s="18"/>
      <c r="AC868" s="8"/>
      <c r="AD868" s="18"/>
      <c r="AE868" s="8"/>
      <c r="AF868" s="18"/>
      <c r="AG868" s="8"/>
      <c r="AH868" s="7"/>
    </row>
    <row r="869" spans="1:34" s="3" customFormat="1" ht="11.25" customHeight="1" x14ac:dyDescent="0.15">
      <c r="A869" s="59" t="s">
        <v>67</v>
      </c>
      <c r="B869" s="120">
        <v>2000</v>
      </c>
      <c r="C869" s="120"/>
      <c r="D869" s="58"/>
      <c r="E869" s="58">
        <f t="shared" si="157"/>
        <v>2000</v>
      </c>
      <c r="F869" s="8"/>
      <c r="G869" s="8"/>
      <c r="H869" s="9"/>
      <c r="I869" s="8"/>
      <c r="J869" s="18"/>
      <c r="K869" s="8"/>
      <c r="L869" s="18"/>
      <c r="M869" s="8"/>
      <c r="N869" s="18"/>
      <c r="O869" s="8"/>
      <c r="P869" s="18"/>
      <c r="Q869" s="8"/>
      <c r="R869" s="18"/>
      <c r="S869" s="8"/>
      <c r="T869" s="18"/>
      <c r="U869" s="8"/>
      <c r="V869" s="18"/>
      <c r="W869" s="8"/>
      <c r="X869" s="18"/>
      <c r="Y869" s="8"/>
      <c r="Z869" s="18"/>
      <c r="AA869" s="8"/>
      <c r="AB869" s="18"/>
      <c r="AC869" s="8"/>
      <c r="AD869" s="18"/>
      <c r="AE869" s="8"/>
      <c r="AF869" s="18"/>
      <c r="AG869" s="8"/>
      <c r="AH869" s="7"/>
    </row>
    <row r="870" spans="1:34" s="3" customFormat="1" ht="11.25" customHeight="1" x14ac:dyDescent="0.15">
      <c r="A870" s="59" t="s">
        <v>9</v>
      </c>
      <c r="B870" s="123">
        <v>37212.36</v>
      </c>
      <c r="C870" s="120"/>
      <c r="D870" s="58"/>
      <c r="E870" s="58">
        <f t="shared" si="157"/>
        <v>37212.36</v>
      </c>
      <c r="F870" s="8"/>
      <c r="G870" s="8"/>
      <c r="H870" s="9"/>
      <c r="I870" s="8"/>
      <c r="J870" s="18"/>
      <c r="K870" s="8"/>
      <c r="L870" s="18"/>
      <c r="M870" s="8"/>
      <c r="N870" s="18"/>
      <c r="O870" s="8"/>
      <c r="P870" s="18"/>
      <c r="Q870" s="8"/>
      <c r="R870" s="18"/>
      <c r="S870" s="8"/>
      <c r="T870" s="18"/>
      <c r="U870" s="8"/>
      <c r="V870" s="18"/>
      <c r="W870" s="8"/>
      <c r="X870" s="18"/>
      <c r="Y870" s="8"/>
      <c r="Z870" s="18"/>
      <c r="AA870" s="8"/>
      <c r="AB870" s="18"/>
      <c r="AC870" s="8"/>
      <c r="AD870" s="18"/>
      <c r="AE870" s="8"/>
      <c r="AF870" s="18"/>
      <c r="AG870" s="8"/>
      <c r="AH870" s="7"/>
    </row>
    <row r="871" spans="1:34" s="2" customFormat="1" ht="11.25" customHeight="1" x14ac:dyDescent="0.15">
      <c r="A871" s="87" t="s">
        <v>68</v>
      </c>
      <c r="B871" s="120">
        <v>70000</v>
      </c>
      <c r="C871" s="124"/>
      <c r="D871" s="50"/>
      <c r="E871" s="58">
        <f t="shared" si="157"/>
        <v>70000</v>
      </c>
      <c r="F871" s="8"/>
      <c r="G871" s="8"/>
      <c r="H871" s="9"/>
      <c r="I871" s="8"/>
      <c r="J871" s="18"/>
      <c r="K871" s="8"/>
      <c r="L871" s="18"/>
      <c r="M871" s="8"/>
      <c r="N871" s="18"/>
      <c r="O871" s="8"/>
      <c r="P871" s="18"/>
      <c r="Q871" s="8"/>
      <c r="R871" s="18"/>
      <c r="S871" s="8"/>
      <c r="T871" s="18"/>
      <c r="U871" s="8"/>
      <c r="V871" s="18"/>
      <c r="W871" s="8"/>
      <c r="X871" s="18"/>
      <c r="Y871" s="8"/>
      <c r="Z871" s="18"/>
      <c r="AA871" s="8"/>
      <c r="AB871" s="18"/>
      <c r="AC871" s="8"/>
      <c r="AD871" s="18"/>
      <c r="AE871" s="8"/>
      <c r="AF871" s="18"/>
      <c r="AG871" s="8"/>
      <c r="AH871" s="7"/>
    </row>
    <row r="872" spans="1:34" x14ac:dyDescent="0.25">
      <c r="A872" s="59" t="s">
        <v>91</v>
      </c>
      <c r="B872" s="121">
        <v>6000</v>
      </c>
      <c r="C872" s="121"/>
      <c r="D872" s="58"/>
      <c r="E872" s="58">
        <f t="shared" si="157"/>
        <v>6000</v>
      </c>
    </row>
    <row r="873" spans="1:34" x14ac:dyDescent="0.25">
      <c r="A873" s="59" t="s">
        <v>92</v>
      </c>
      <c r="B873" s="122">
        <v>110451.47</v>
      </c>
      <c r="C873" s="122">
        <v>103049.09</v>
      </c>
      <c r="D873" s="58"/>
      <c r="E873" s="58">
        <f t="shared" si="157"/>
        <v>213500.56</v>
      </c>
    </row>
    <row r="874" spans="1:34" x14ac:dyDescent="0.25">
      <c r="A874" s="59" t="s">
        <v>62</v>
      </c>
      <c r="B874" s="122">
        <v>434151.63</v>
      </c>
      <c r="C874" s="122">
        <v>96172.83</v>
      </c>
      <c r="D874" s="58"/>
      <c r="E874" s="58">
        <f t="shared" si="157"/>
        <v>530324.46</v>
      </c>
    </row>
    <row r="875" spans="1:34" x14ac:dyDescent="0.25">
      <c r="A875" s="59" t="s">
        <v>10</v>
      </c>
      <c r="B875" s="121">
        <v>95460.15</v>
      </c>
      <c r="C875" s="122">
        <v>22352</v>
      </c>
      <c r="D875" s="58"/>
      <c r="E875" s="58">
        <f t="shared" si="157"/>
        <v>117812.15</v>
      </c>
    </row>
    <row r="876" spans="1:34" x14ac:dyDescent="0.25">
      <c r="A876" s="59" t="s">
        <v>68</v>
      </c>
      <c r="B876" s="122">
        <v>835.2</v>
      </c>
      <c r="C876" s="122">
        <v>33616.800000000003</v>
      </c>
      <c r="D876" s="58"/>
      <c r="E876" s="58">
        <f t="shared" si="157"/>
        <v>34452</v>
      </c>
    </row>
    <row r="877" spans="1:34" x14ac:dyDescent="0.25">
      <c r="A877" s="59" t="s">
        <v>93</v>
      </c>
      <c r="B877" s="58">
        <v>6000</v>
      </c>
      <c r="C877" s="96"/>
      <c r="D877" s="58"/>
      <c r="E877" s="58">
        <f t="shared" si="157"/>
        <v>6000</v>
      </c>
    </row>
    <row r="878" spans="1:34" x14ac:dyDescent="0.25">
      <c r="A878" s="59" t="s">
        <v>13</v>
      </c>
      <c r="B878" s="58">
        <v>10000</v>
      </c>
      <c r="C878" s="96"/>
      <c r="D878" s="58"/>
      <c r="E878" s="58">
        <f t="shared" si="157"/>
        <v>10000</v>
      </c>
    </row>
    <row r="879" spans="1:34" x14ac:dyDescent="0.25">
      <c r="A879" s="87" t="s">
        <v>70</v>
      </c>
      <c r="B879" s="52">
        <v>17000</v>
      </c>
      <c r="C879" s="96"/>
      <c r="D879" s="58"/>
      <c r="E879" s="58">
        <f t="shared" si="157"/>
        <v>17000</v>
      </c>
    </row>
    <row r="880" spans="1:34" x14ac:dyDescent="0.25">
      <c r="F880" s="29">
        <f>SUM(E861:E879)</f>
        <v>2928519.12</v>
      </c>
    </row>
    <row r="881" spans="1:33" ht="18.75" x14ac:dyDescent="0.4">
      <c r="A881" s="32" t="s">
        <v>111</v>
      </c>
      <c r="B881" s="40"/>
      <c r="C881" s="40"/>
      <c r="D881" s="40"/>
      <c r="E881" s="51"/>
      <c r="F881" s="29"/>
    </row>
    <row r="882" spans="1:33" x14ac:dyDescent="0.25">
      <c r="A882" s="59"/>
      <c r="B882" s="58"/>
      <c r="C882" s="58"/>
      <c r="D882" s="58"/>
      <c r="E882" s="58">
        <f t="shared" ref="E882:E883" si="158">+B882+C882+D882</f>
        <v>0</v>
      </c>
      <c r="F882" s="29"/>
    </row>
    <row r="883" spans="1:33" x14ac:dyDescent="0.25">
      <c r="A883" s="59"/>
      <c r="B883" s="58"/>
      <c r="C883" s="58"/>
      <c r="D883" s="58"/>
      <c r="E883" s="58">
        <f t="shared" si="158"/>
        <v>0</v>
      </c>
      <c r="F883" s="29"/>
      <c r="H883">
        <f>2855779.94+4541.3</f>
        <v>2860321.2399999998</v>
      </c>
    </row>
    <row r="884" spans="1:33" ht="18.75" x14ac:dyDescent="0.4">
      <c r="A884" s="32" t="s">
        <v>112</v>
      </c>
      <c r="B884" s="40"/>
      <c r="C884" s="40"/>
      <c r="D884" s="40"/>
      <c r="E884" s="51"/>
      <c r="F884" s="29"/>
      <c r="H884" s="29">
        <f>+H883-F880-F888</f>
        <v>-72739.48000000036</v>
      </c>
    </row>
    <row r="885" spans="1:33" x14ac:dyDescent="0.25">
      <c r="A885" s="60" t="s">
        <v>157</v>
      </c>
      <c r="B885" s="58">
        <v>0</v>
      </c>
      <c r="C885" s="58"/>
      <c r="D885" s="58"/>
      <c r="E885" s="58">
        <f t="shared" ref="E885:E886" si="159">+B885+C885+D885</f>
        <v>0</v>
      </c>
      <c r="F885" s="29"/>
    </row>
    <row r="886" spans="1:33" x14ac:dyDescent="0.25">
      <c r="A886" s="60" t="s">
        <v>75</v>
      </c>
      <c r="B886" s="61">
        <v>0</v>
      </c>
      <c r="C886" s="58"/>
      <c r="D886" s="58"/>
      <c r="E886" s="58">
        <f t="shared" si="159"/>
        <v>0</v>
      </c>
      <c r="F886" s="29"/>
    </row>
    <row r="887" spans="1:33" ht="18.75" x14ac:dyDescent="0.4">
      <c r="A887" s="34" t="s">
        <v>113</v>
      </c>
      <c r="B887" s="40"/>
      <c r="C887" s="40"/>
      <c r="D887" s="40"/>
      <c r="E887" s="51"/>
      <c r="F887" s="29"/>
    </row>
    <row r="888" spans="1:33" x14ac:dyDescent="0.25">
      <c r="A888" s="92" t="s">
        <v>137</v>
      </c>
      <c r="B888" s="58">
        <v>0</v>
      </c>
      <c r="C888" s="58">
        <v>4541.6000000000004</v>
      </c>
      <c r="D888" s="58"/>
      <c r="E888" s="58">
        <f t="shared" ref="E888" si="160">+B888+C888+D888</f>
        <v>4541.6000000000004</v>
      </c>
      <c r="F888" s="29">
        <f>+E888</f>
        <v>4541.6000000000004</v>
      </c>
    </row>
    <row r="889" spans="1:33" x14ac:dyDescent="0.25">
      <c r="F889" s="29"/>
    </row>
    <row r="890" spans="1:33" x14ac:dyDescent="0.25">
      <c r="F890" s="29"/>
    </row>
    <row r="891" spans="1:33" x14ac:dyDescent="0.25">
      <c r="F891" s="29"/>
    </row>
    <row r="892" spans="1:33" ht="18.75" x14ac:dyDescent="0.4">
      <c r="A892" s="168" t="s">
        <v>94</v>
      </c>
      <c r="B892" s="168"/>
      <c r="C892" s="168"/>
      <c r="D892" s="168"/>
      <c r="E892" s="168"/>
      <c r="F892" s="84"/>
      <c r="G892" s="84"/>
    </row>
    <row r="894" spans="1:33" ht="30" x14ac:dyDescent="0.25">
      <c r="A894" s="33" t="s">
        <v>105</v>
      </c>
      <c r="B894" s="38" t="s">
        <v>106</v>
      </c>
      <c r="C894" s="38" t="s">
        <v>107</v>
      </c>
      <c r="D894" s="38" t="s">
        <v>108</v>
      </c>
      <c r="E894" s="38" t="s">
        <v>109</v>
      </c>
    </row>
    <row r="895" spans="1:33" ht="18.75" x14ac:dyDescent="0.4">
      <c r="A895" s="32" t="s">
        <v>110</v>
      </c>
      <c r="B895" s="37">
        <f>SUM(B896:B936)</f>
        <v>2319269.6399999997</v>
      </c>
      <c r="C895" s="37">
        <f t="shared" ref="C895:E895" si="161">SUM(C896:C936)</f>
        <v>368514.11</v>
      </c>
      <c r="D895" s="37">
        <f t="shared" si="161"/>
        <v>898319</v>
      </c>
      <c r="E895" s="37">
        <f t="shared" si="161"/>
        <v>3586102.75</v>
      </c>
    </row>
    <row r="896" spans="1:33" s="3" customFormat="1" ht="11.25" customHeight="1" x14ac:dyDescent="0.15">
      <c r="A896" s="59" t="s">
        <v>1</v>
      </c>
      <c r="B896" s="61">
        <v>52550.63</v>
      </c>
      <c r="C896" s="98">
        <v>8495.4699999999993</v>
      </c>
      <c r="D896" s="58"/>
      <c r="E896" s="58">
        <f>+B896+C896+D896</f>
        <v>61046.1</v>
      </c>
      <c r="F896" s="4"/>
      <c r="G896" s="4"/>
      <c r="I896" s="4"/>
      <c r="J896" s="16"/>
      <c r="K896" s="4"/>
      <c r="L896" s="16"/>
      <c r="M896" s="4"/>
      <c r="N896" s="16"/>
      <c r="O896" s="4"/>
      <c r="P896" s="16"/>
      <c r="Q896" s="4"/>
      <c r="R896" s="16"/>
      <c r="S896" s="4"/>
      <c r="T896" s="16"/>
      <c r="U896" s="4"/>
      <c r="V896" s="16"/>
      <c r="W896" s="4"/>
      <c r="X896" s="16"/>
      <c r="Y896" s="4"/>
      <c r="Z896" s="16"/>
      <c r="AA896" s="4"/>
      <c r="AB896" s="16"/>
      <c r="AC896" s="4"/>
      <c r="AD896" s="16"/>
      <c r="AE896" s="4"/>
      <c r="AF896" s="16"/>
      <c r="AG896" s="4"/>
    </row>
    <row r="897" spans="1:34" s="3" customFormat="1" ht="11.25" customHeight="1" x14ac:dyDescent="0.15">
      <c r="A897" s="59" t="s">
        <v>2</v>
      </c>
      <c r="B897" s="61">
        <v>22444.83</v>
      </c>
      <c r="C897" s="97">
        <v>3744</v>
      </c>
      <c r="D897" s="58"/>
      <c r="E897" s="58">
        <f t="shared" ref="E897:E920" si="162">+B897+C897+D897</f>
        <v>26188.83</v>
      </c>
      <c r="F897" s="8"/>
      <c r="G897" s="8"/>
      <c r="H897" s="9"/>
      <c r="I897" s="8"/>
      <c r="J897" s="18"/>
      <c r="K897" s="8"/>
      <c r="L897" s="18"/>
      <c r="M897" s="8"/>
      <c r="N897" s="18"/>
      <c r="O897" s="8"/>
      <c r="P897" s="18"/>
      <c r="Q897" s="8"/>
      <c r="R897" s="18"/>
      <c r="S897" s="8"/>
      <c r="T897" s="18"/>
      <c r="U897" s="8"/>
      <c r="V897" s="18"/>
      <c r="W897" s="8"/>
      <c r="X897" s="18"/>
      <c r="Y897" s="8"/>
      <c r="Z897" s="18"/>
      <c r="AA897" s="8"/>
      <c r="AB897" s="18"/>
      <c r="AC897" s="8"/>
      <c r="AD897" s="18"/>
      <c r="AE897" s="8"/>
      <c r="AF897" s="18"/>
      <c r="AG897" s="8"/>
      <c r="AH897" s="7"/>
    </row>
    <row r="898" spans="1:34" s="3" customFormat="1" ht="11.25" customHeight="1" x14ac:dyDescent="0.15">
      <c r="A898" s="59" t="s">
        <v>3</v>
      </c>
      <c r="B898" s="97">
        <v>30847</v>
      </c>
      <c r="C898" s="98">
        <v>19020.62</v>
      </c>
      <c r="D898" s="58"/>
      <c r="E898" s="58">
        <f t="shared" si="162"/>
        <v>49867.619999999995</v>
      </c>
      <c r="F898" s="8"/>
      <c r="G898" s="8"/>
      <c r="H898" s="9"/>
      <c r="I898" s="8"/>
      <c r="J898" s="18"/>
      <c r="K898" s="8"/>
      <c r="L898" s="18"/>
      <c r="M898" s="8"/>
      <c r="N898" s="18"/>
      <c r="O898" s="8"/>
      <c r="P898" s="18"/>
      <c r="Q898" s="8"/>
      <c r="R898" s="18"/>
      <c r="S898" s="8"/>
      <c r="T898" s="18"/>
      <c r="U898" s="8"/>
      <c r="V898" s="18"/>
      <c r="W898" s="8"/>
      <c r="X898" s="18"/>
      <c r="Y898" s="8"/>
      <c r="Z898" s="18"/>
      <c r="AA898" s="8"/>
      <c r="AB898" s="18"/>
      <c r="AC898" s="8"/>
      <c r="AD898" s="18"/>
      <c r="AE898" s="8"/>
      <c r="AF898" s="18"/>
      <c r="AG898" s="8"/>
      <c r="AH898" s="7"/>
    </row>
    <row r="899" spans="1:34" s="3" customFormat="1" ht="11.25" customHeight="1" x14ac:dyDescent="0.15">
      <c r="A899" s="59" t="s">
        <v>39</v>
      </c>
      <c r="B899" s="96">
        <v>0</v>
      </c>
      <c r="C899" s="98"/>
      <c r="D899" s="58"/>
      <c r="E899" s="58">
        <f t="shared" si="162"/>
        <v>0</v>
      </c>
      <c r="F899" s="8"/>
      <c r="G899" s="8"/>
      <c r="H899" s="9"/>
      <c r="I899" s="8"/>
      <c r="J899" s="18"/>
      <c r="K899" s="8"/>
      <c r="L899" s="18"/>
      <c r="M899" s="8"/>
      <c r="N899" s="18"/>
      <c r="O899" s="8"/>
      <c r="P899" s="18"/>
      <c r="Q899" s="8"/>
      <c r="R899" s="18"/>
      <c r="S899" s="8"/>
      <c r="T899" s="18"/>
      <c r="U899" s="8"/>
      <c r="V899" s="18"/>
      <c r="W899" s="8"/>
      <c r="X899" s="18"/>
      <c r="Y899" s="8"/>
      <c r="Z899" s="18"/>
      <c r="AA899" s="8"/>
      <c r="AB899" s="18"/>
      <c r="AC899" s="8"/>
      <c r="AD899" s="18"/>
      <c r="AE899" s="8"/>
      <c r="AF899" s="18"/>
      <c r="AG899" s="8"/>
      <c r="AH899" s="7"/>
    </row>
    <row r="900" spans="1:34" x14ac:dyDescent="0.25">
      <c r="A900" s="59" t="s">
        <v>6</v>
      </c>
      <c r="B900" s="58">
        <v>32578</v>
      </c>
      <c r="C900" s="96">
        <v>1131.4000000000001</v>
      </c>
      <c r="D900" s="58"/>
      <c r="E900" s="58">
        <f t="shared" si="162"/>
        <v>33709.4</v>
      </c>
    </row>
    <row r="901" spans="1:34" x14ac:dyDescent="0.25">
      <c r="A901" s="59" t="s">
        <v>95</v>
      </c>
      <c r="B901" s="58">
        <v>0</v>
      </c>
      <c r="C901" s="96"/>
      <c r="D901" s="58"/>
      <c r="E901" s="58">
        <f t="shared" si="162"/>
        <v>0</v>
      </c>
    </row>
    <row r="902" spans="1:34" x14ac:dyDescent="0.25">
      <c r="A902" s="59" t="s">
        <v>96</v>
      </c>
      <c r="B902" s="58">
        <v>0</v>
      </c>
      <c r="C902" s="96"/>
      <c r="D902" s="58"/>
      <c r="E902" s="58">
        <f t="shared" si="162"/>
        <v>0</v>
      </c>
    </row>
    <row r="903" spans="1:34" x14ac:dyDescent="0.25">
      <c r="A903" s="59" t="s">
        <v>23</v>
      </c>
      <c r="B903" s="58">
        <v>0</v>
      </c>
      <c r="C903" s="96"/>
      <c r="D903" s="58"/>
      <c r="E903" s="58">
        <f t="shared" si="162"/>
        <v>0</v>
      </c>
    </row>
    <row r="904" spans="1:34" x14ac:dyDescent="0.25">
      <c r="A904" s="59" t="s">
        <v>7</v>
      </c>
      <c r="B904" s="58">
        <v>1500</v>
      </c>
      <c r="C904" s="96"/>
      <c r="D904" s="58"/>
      <c r="E904" s="58">
        <f t="shared" si="162"/>
        <v>1500</v>
      </c>
    </row>
    <row r="905" spans="1:34" x14ac:dyDescent="0.25">
      <c r="A905" s="59" t="s">
        <v>66</v>
      </c>
      <c r="B905" s="52">
        <v>2026.47</v>
      </c>
      <c r="C905" s="96">
        <v>19473.8</v>
      </c>
      <c r="D905" s="58"/>
      <c r="E905" s="58">
        <f t="shared" si="162"/>
        <v>21500.27</v>
      </c>
    </row>
    <row r="906" spans="1:34" x14ac:dyDescent="0.25">
      <c r="A906" s="59" t="s">
        <v>67</v>
      </c>
      <c r="B906" s="52">
        <v>1000</v>
      </c>
      <c r="C906" s="96"/>
      <c r="D906" s="58"/>
      <c r="E906" s="58">
        <f t="shared" si="162"/>
        <v>1000</v>
      </c>
    </row>
    <row r="907" spans="1:34" x14ac:dyDescent="0.25">
      <c r="A907" s="59" t="s">
        <v>97</v>
      </c>
      <c r="B907" s="58">
        <v>10000</v>
      </c>
      <c r="C907" s="96"/>
      <c r="D907" s="58"/>
      <c r="E907" s="58">
        <f t="shared" si="162"/>
        <v>10000</v>
      </c>
    </row>
    <row r="908" spans="1:34" x14ac:dyDescent="0.25">
      <c r="A908" s="59" t="s">
        <v>91</v>
      </c>
      <c r="B908" s="58">
        <v>5919</v>
      </c>
      <c r="C908" s="96"/>
      <c r="D908" s="58"/>
      <c r="E908" s="58">
        <f t="shared" si="162"/>
        <v>5919</v>
      </c>
    </row>
    <row r="909" spans="1:34" x14ac:dyDescent="0.25">
      <c r="A909" s="59" t="s">
        <v>98</v>
      </c>
      <c r="B909" s="58">
        <v>1500</v>
      </c>
      <c r="C909" s="96">
        <v>2795.5</v>
      </c>
      <c r="D909" s="58"/>
      <c r="E909" s="58">
        <f t="shared" si="162"/>
        <v>4295.5</v>
      </c>
    </row>
    <row r="910" spans="1:34" x14ac:dyDescent="0.25">
      <c r="A910" s="59" t="s">
        <v>99</v>
      </c>
      <c r="B910" s="93">
        <v>55729.27</v>
      </c>
      <c r="C910" s="96">
        <v>13690</v>
      </c>
      <c r="D910" s="58"/>
      <c r="E910" s="58">
        <f t="shared" si="162"/>
        <v>69419.26999999999</v>
      </c>
    </row>
    <row r="911" spans="1:34" x14ac:dyDescent="0.25">
      <c r="A911" s="59" t="s">
        <v>9</v>
      </c>
      <c r="B911" s="58">
        <v>2000</v>
      </c>
      <c r="C911" s="96"/>
      <c r="D911" s="58"/>
      <c r="E911" s="58">
        <f t="shared" si="162"/>
        <v>2000</v>
      </c>
    </row>
    <row r="912" spans="1:34" x14ac:dyDescent="0.25">
      <c r="A912" s="59" t="s">
        <v>10</v>
      </c>
      <c r="B912" s="58">
        <f>275028-67000</f>
        <v>208028</v>
      </c>
      <c r="C912" s="96">
        <v>67000</v>
      </c>
      <c r="D912" s="58"/>
      <c r="E912" s="58">
        <f t="shared" si="162"/>
        <v>275028</v>
      </c>
    </row>
    <row r="913" spans="1:7" x14ac:dyDescent="0.25">
      <c r="A913" s="59" t="s">
        <v>11</v>
      </c>
      <c r="B913" s="58">
        <v>0</v>
      </c>
      <c r="C913" s="95">
        <v>38947</v>
      </c>
      <c r="D913" s="58"/>
      <c r="E913" s="58">
        <f t="shared" si="162"/>
        <v>38947</v>
      </c>
    </row>
    <row r="914" spans="1:7" x14ac:dyDescent="0.25">
      <c r="A914" s="59" t="s">
        <v>100</v>
      </c>
      <c r="B914" s="58">
        <v>32061</v>
      </c>
      <c r="C914" s="96"/>
      <c r="D914" s="58"/>
      <c r="E914" s="58">
        <f t="shared" si="162"/>
        <v>32061</v>
      </c>
    </row>
    <row r="915" spans="1:7" x14ac:dyDescent="0.25">
      <c r="A915" s="59" t="s">
        <v>89</v>
      </c>
      <c r="B915" s="58">
        <v>1382</v>
      </c>
      <c r="C915" s="96"/>
      <c r="D915" s="58"/>
      <c r="E915" s="58">
        <f t="shared" si="162"/>
        <v>1382</v>
      </c>
    </row>
    <row r="916" spans="1:7" x14ac:dyDescent="0.25">
      <c r="A916" s="59" t="s">
        <v>12</v>
      </c>
      <c r="B916" s="58">
        <v>1500</v>
      </c>
      <c r="C916" s="96"/>
      <c r="D916" s="58"/>
      <c r="E916" s="58">
        <f t="shared" si="162"/>
        <v>1500</v>
      </c>
    </row>
    <row r="917" spans="1:7" x14ac:dyDescent="0.25">
      <c r="A917" s="59" t="s">
        <v>13</v>
      </c>
      <c r="B917" s="58">
        <v>5000</v>
      </c>
      <c r="C917" s="96"/>
      <c r="D917" s="58"/>
      <c r="E917" s="58">
        <f t="shared" si="162"/>
        <v>5000</v>
      </c>
    </row>
    <row r="918" spans="1:7" x14ac:dyDescent="0.25">
      <c r="A918" s="59" t="s">
        <v>172</v>
      </c>
      <c r="B918" s="58">
        <v>8000</v>
      </c>
      <c r="C918" s="96"/>
      <c r="D918" s="58"/>
      <c r="E918" s="58">
        <f t="shared" si="162"/>
        <v>8000</v>
      </c>
    </row>
    <row r="919" spans="1:7" x14ac:dyDescent="0.25">
      <c r="A919" s="117" t="s">
        <v>171</v>
      </c>
      <c r="B919" s="58">
        <v>7231</v>
      </c>
      <c r="C919" s="99"/>
      <c r="D919" s="58"/>
      <c r="E919" s="58">
        <f t="shared" si="162"/>
        <v>7231</v>
      </c>
    </row>
    <row r="920" spans="1:7" x14ac:dyDescent="0.25">
      <c r="A920" s="59" t="s">
        <v>5</v>
      </c>
      <c r="B920" s="58"/>
      <c r="C920" s="96"/>
      <c r="D920" s="58"/>
      <c r="E920" s="58">
        <f t="shared" si="162"/>
        <v>0</v>
      </c>
    </row>
    <row r="921" spans="1:7" x14ac:dyDescent="0.25">
      <c r="A921" s="9"/>
      <c r="B921" s="40"/>
      <c r="C921" s="49"/>
      <c r="D921" s="40"/>
      <c r="E921" s="51"/>
      <c r="F921" s="29">
        <f>SUM(E896:E920)</f>
        <v>655594.99</v>
      </c>
      <c r="G921">
        <f>627470.32+72000+2858507.76</f>
        <v>3557978.0799999996</v>
      </c>
    </row>
    <row r="922" spans="1:7" ht="18.75" x14ac:dyDescent="0.4">
      <c r="A922" s="32" t="s">
        <v>111</v>
      </c>
      <c r="B922" s="40"/>
      <c r="C922" s="40"/>
      <c r="D922" s="40"/>
      <c r="E922" s="51"/>
      <c r="F922" s="29"/>
      <c r="G922" s="29">
        <f>+F921+F926+F936</f>
        <v>3586102.75</v>
      </c>
    </row>
    <row r="923" spans="1:7" x14ac:dyDescent="0.25">
      <c r="A923" s="59"/>
      <c r="B923" s="58"/>
      <c r="C923" s="58"/>
      <c r="D923" s="58"/>
      <c r="E923" s="58">
        <f t="shared" ref="E923:E924" si="163">+B923+C923+D923</f>
        <v>0</v>
      </c>
      <c r="F923" s="29"/>
      <c r="G923" s="29">
        <f>+G921-G922</f>
        <v>-28124.670000000391</v>
      </c>
    </row>
    <row r="924" spans="1:7" x14ac:dyDescent="0.25">
      <c r="A924" s="59"/>
      <c r="B924" s="58"/>
      <c r="C924" s="58"/>
      <c r="D924" s="58"/>
      <c r="E924" s="58">
        <f t="shared" si="163"/>
        <v>0</v>
      </c>
      <c r="F924" s="29"/>
    </row>
    <row r="925" spans="1:7" ht="18.75" x14ac:dyDescent="0.4">
      <c r="A925" s="32" t="s">
        <v>112</v>
      </c>
      <c r="B925" s="40"/>
      <c r="C925" s="40"/>
      <c r="D925" s="40"/>
      <c r="E925" s="51"/>
      <c r="F925" s="29"/>
    </row>
    <row r="926" spans="1:7" x14ac:dyDescent="0.25">
      <c r="A926" s="60" t="s">
        <v>157</v>
      </c>
      <c r="B926" s="58">
        <v>0</v>
      </c>
      <c r="C926" s="58">
        <v>72000</v>
      </c>
      <c r="D926" s="58"/>
      <c r="E926" s="58">
        <f t="shared" ref="E926:E927" si="164">+B926+C926+D926</f>
        <v>72000</v>
      </c>
      <c r="F926" s="29">
        <f>+E926</f>
        <v>72000</v>
      </c>
    </row>
    <row r="927" spans="1:7" x14ac:dyDescent="0.25">
      <c r="A927" s="60" t="s">
        <v>75</v>
      </c>
      <c r="B927" s="61">
        <v>0</v>
      </c>
      <c r="C927" s="58"/>
      <c r="D927" s="58"/>
      <c r="E927" s="58">
        <f t="shared" si="164"/>
        <v>0</v>
      </c>
      <c r="F927" s="29"/>
    </row>
    <row r="928" spans="1:7" ht="18.75" x14ac:dyDescent="0.4">
      <c r="A928" s="34" t="s">
        <v>113</v>
      </c>
      <c r="B928" s="40"/>
      <c r="C928" s="40"/>
      <c r="D928" s="40"/>
      <c r="E928" s="51"/>
      <c r="F928" s="29"/>
    </row>
    <row r="929" spans="1:34" x14ac:dyDescent="0.25">
      <c r="A929" s="92" t="s">
        <v>133</v>
      </c>
      <c r="B929" s="58">
        <v>0</v>
      </c>
      <c r="C929" s="98">
        <v>30130.880000000001</v>
      </c>
      <c r="D929" s="58"/>
      <c r="E929" s="58">
        <f>+B929+C929+D929</f>
        <v>30130.880000000001</v>
      </c>
      <c r="F929" s="29"/>
    </row>
    <row r="930" spans="1:34" x14ac:dyDescent="0.25">
      <c r="A930" s="92" t="s">
        <v>134</v>
      </c>
      <c r="B930" s="96">
        <v>0</v>
      </c>
      <c r="C930" s="98">
        <v>7872.62</v>
      </c>
      <c r="D930" s="96"/>
      <c r="E930" s="58">
        <f>+B930+C930+D930</f>
        <v>7872.62</v>
      </c>
      <c r="F930" s="29"/>
    </row>
    <row r="931" spans="1:34" x14ac:dyDescent="0.25">
      <c r="A931" s="92" t="s">
        <v>135</v>
      </c>
      <c r="B931" s="96">
        <v>0</v>
      </c>
      <c r="C931" s="98">
        <v>2705.42</v>
      </c>
      <c r="D931" s="96"/>
      <c r="E931" s="58">
        <f>+B931+C931+D931</f>
        <v>2705.42</v>
      </c>
      <c r="F931" s="29"/>
    </row>
    <row r="932" spans="1:34" x14ac:dyDescent="0.25">
      <c r="A932" s="92" t="s">
        <v>178</v>
      </c>
      <c r="B932" s="96">
        <v>0</v>
      </c>
      <c r="C932" s="98">
        <v>21146.799999999999</v>
      </c>
      <c r="D932" s="96"/>
      <c r="E932" s="58">
        <f>+B932+C932+D932</f>
        <v>21146.799999999999</v>
      </c>
      <c r="F932" s="29"/>
    </row>
    <row r="933" spans="1:34" x14ac:dyDescent="0.25">
      <c r="A933" s="92" t="s">
        <v>137</v>
      </c>
      <c r="B933" s="96"/>
      <c r="C933" s="98">
        <v>4859.82</v>
      </c>
      <c r="D933" s="96"/>
      <c r="E933" s="58">
        <f t="shared" ref="E933:E936" si="165">+B933+C933+D933</f>
        <v>4859.82</v>
      </c>
      <c r="F933" s="29"/>
    </row>
    <row r="934" spans="1:34" x14ac:dyDescent="0.25">
      <c r="A934" s="92" t="s">
        <v>163</v>
      </c>
      <c r="B934" s="98">
        <v>1837972.44</v>
      </c>
      <c r="C934" s="98">
        <v>55500.78</v>
      </c>
      <c r="D934" s="96"/>
      <c r="E934" s="58">
        <f t="shared" si="165"/>
        <v>1893473.22</v>
      </c>
      <c r="F934" s="29"/>
    </row>
    <row r="935" spans="1:34" x14ac:dyDescent="0.25">
      <c r="A935" s="92" t="s">
        <v>179</v>
      </c>
      <c r="B935" s="96"/>
      <c r="C935" s="96"/>
      <c r="D935" s="98">
        <v>466200</v>
      </c>
      <c r="E935" s="58">
        <f t="shared" si="165"/>
        <v>466200</v>
      </c>
      <c r="F935" s="29"/>
    </row>
    <row r="936" spans="1:34" x14ac:dyDescent="0.25">
      <c r="A936" s="92" t="s">
        <v>180</v>
      </c>
      <c r="B936" s="58">
        <v>0</v>
      </c>
      <c r="C936" s="58"/>
      <c r="D936" s="98">
        <v>432119</v>
      </c>
      <c r="E936" s="58">
        <f t="shared" si="165"/>
        <v>432119</v>
      </c>
      <c r="F936" s="29">
        <f>SUM(E929:E936)</f>
        <v>2858507.76</v>
      </c>
    </row>
    <row r="937" spans="1:34" x14ac:dyDescent="0.25">
      <c r="A937" s="9"/>
      <c r="B937" s="40"/>
      <c r="C937" s="49"/>
      <c r="D937" s="40"/>
      <c r="E937" s="51"/>
      <c r="F937" s="29"/>
    </row>
    <row r="938" spans="1:34" x14ac:dyDescent="0.25">
      <c r="A938" s="9"/>
      <c r="B938" s="40"/>
      <c r="C938" s="49"/>
      <c r="D938" s="40"/>
      <c r="E938" s="51"/>
      <c r="F938" s="29"/>
    </row>
    <row r="939" spans="1:34" ht="18.75" x14ac:dyDescent="0.4">
      <c r="A939" s="169" t="s">
        <v>235</v>
      </c>
      <c r="B939" s="169"/>
      <c r="C939" s="169"/>
      <c r="D939" s="169"/>
      <c r="E939" s="169"/>
      <c r="F939" s="69"/>
      <c r="G939" s="69"/>
    </row>
    <row r="940" spans="1:34" s="3" customFormat="1" ht="11.25" customHeight="1" x14ac:dyDescent="0.15">
      <c r="A940" s="2" t="s">
        <v>75</v>
      </c>
      <c r="B940" s="39"/>
      <c r="C940" s="48"/>
      <c r="D940" s="39"/>
      <c r="E940" s="39"/>
      <c r="F940" s="86"/>
      <c r="G940" s="86"/>
      <c r="I940" s="4"/>
      <c r="J940" s="16"/>
      <c r="K940" s="4"/>
      <c r="L940" s="16"/>
      <c r="M940" s="4"/>
      <c r="N940" s="16"/>
      <c r="O940" s="4"/>
      <c r="P940" s="16"/>
      <c r="Q940" s="4"/>
      <c r="R940" s="16"/>
      <c r="S940" s="4"/>
      <c r="T940" s="16"/>
      <c r="U940" s="4"/>
      <c r="V940" s="16"/>
      <c r="W940" s="4"/>
      <c r="X940" s="16"/>
      <c r="Y940" s="4"/>
      <c r="Z940" s="16"/>
      <c r="AA940" s="4"/>
      <c r="AB940" s="16"/>
      <c r="AC940" s="4"/>
      <c r="AD940" s="16"/>
      <c r="AE940" s="4"/>
      <c r="AF940" s="16"/>
      <c r="AG940" s="4"/>
    </row>
    <row r="941" spans="1:34" s="3" customFormat="1" ht="30" x14ac:dyDescent="0.15">
      <c r="A941" s="33" t="s">
        <v>105</v>
      </c>
      <c r="B941" s="38" t="s">
        <v>106</v>
      </c>
      <c r="C941" s="38" t="s">
        <v>107</v>
      </c>
      <c r="D941" s="38" t="s">
        <v>108</v>
      </c>
      <c r="E941" s="38" t="s">
        <v>109</v>
      </c>
      <c r="F941" s="86"/>
      <c r="G941" s="86"/>
      <c r="I941" s="4"/>
      <c r="J941" s="16"/>
      <c r="K941" s="4"/>
      <c r="L941" s="16"/>
      <c r="M941" s="4"/>
      <c r="N941" s="16"/>
      <c r="O941" s="4"/>
      <c r="P941" s="16"/>
      <c r="Q941" s="4"/>
      <c r="R941" s="16"/>
      <c r="S941" s="4"/>
      <c r="T941" s="16"/>
      <c r="U941" s="4"/>
      <c r="V941" s="16"/>
      <c r="W941" s="4"/>
      <c r="X941" s="16"/>
      <c r="Y941" s="4"/>
      <c r="Z941" s="16"/>
      <c r="AA941" s="4"/>
      <c r="AB941" s="16"/>
      <c r="AC941" s="4"/>
      <c r="AD941" s="16"/>
      <c r="AE941" s="4"/>
      <c r="AF941" s="16"/>
      <c r="AG941" s="4"/>
    </row>
    <row r="942" spans="1:34" s="3" customFormat="1" ht="18.75" x14ac:dyDescent="0.4">
      <c r="A942" s="32" t="s">
        <v>110</v>
      </c>
      <c r="B942" s="37">
        <f>SUM(B943:B967)</f>
        <v>1787059.1600000001</v>
      </c>
      <c r="C942" s="37">
        <f t="shared" ref="C942:E942" si="166">SUM(C943:C967)</f>
        <v>217445.62</v>
      </c>
      <c r="D942" s="37">
        <f t="shared" si="166"/>
        <v>0</v>
      </c>
      <c r="E942" s="37">
        <f t="shared" si="166"/>
        <v>2004504.78</v>
      </c>
      <c r="F942" s="86"/>
      <c r="G942" s="86"/>
      <c r="I942" s="4"/>
      <c r="J942" s="16"/>
      <c r="K942" s="4"/>
      <c r="L942" s="16"/>
      <c r="M942" s="4"/>
      <c r="N942" s="16"/>
      <c r="O942" s="4"/>
      <c r="P942" s="16"/>
      <c r="Q942" s="4"/>
      <c r="R942" s="16"/>
      <c r="S942" s="4"/>
      <c r="T942" s="16"/>
      <c r="U942" s="4"/>
      <c r="V942" s="16"/>
      <c r="W942" s="4"/>
      <c r="X942" s="16"/>
      <c r="Y942" s="4"/>
      <c r="Z942" s="16"/>
      <c r="AA942" s="4"/>
      <c r="AB942" s="16"/>
      <c r="AC942" s="4"/>
      <c r="AD942" s="16"/>
      <c r="AE942" s="4"/>
      <c r="AF942" s="16"/>
      <c r="AG942" s="4"/>
    </row>
    <row r="943" spans="1:34" s="3" customFormat="1" ht="11.25" customHeight="1" x14ac:dyDescent="0.15">
      <c r="A943" s="119" t="s">
        <v>1</v>
      </c>
      <c r="B943" s="110">
        <v>40697.82</v>
      </c>
      <c r="C943" s="110">
        <v>6356.44</v>
      </c>
      <c r="D943" s="50"/>
      <c r="E943" s="52">
        <f>+B943+C943+D943</f>
        <v>47054.26</v>
      </c>
      <c r="F943" s="5"/>
      <c r="G943" s="5"/>
      <c r="H943" s="6"/>
      <c r="I943" s="5"/>
      <c r="J943" s="18"/>
      <c r="K943" s="8"/>
      <c r="L943" s="18"/>
      <c r="M943" s="8"/>
      <c r="N943" s="18"/>
      <c r="O943" s="8"/>
      <c r="P943" s="18"/>
      <c r="Q943" s="8"/>
      <c r="R943" s="18"/>
      <c r="S943" s="8"/>
      <c r="T943" s="18"/>
      <c r="U943" s="8"/>
      <c r="V943" s="18"/>
      <c r="W943" s="8"/>
      <c r="X943" s="18"/>
      <c r="Y943" s="8"/>
      <c r="Z943" s="18"/>
      <c r="AA943" s="8"/>
      <c r="AB943" s="18"/>
      <c r="AC943" s="8"/>
      <c r="AD943" s="18"/>
      <c r="AE943" s="8"/>
      <c r="AF943" s="18"/>
      <c r="AG943" s="8"/>
      <c r="AH943" s="7"/>
    </row>
    <row r="944" spans="1:34" s="3" customFormat="1" ht="11.25" customHeight="1" x14ac:dyDescent="0.15">
      <c r="A944" s="59" t="s">
        <v>2</v>
      </c>
      <c r="B944" s="110">
        <v>17020.68</v>
      </c>
      <c r="C944" s="110">
        <v>9048</v>
      </c>
      <c r="D944" s="58"/>
      <c r="E944" s="52">
        <f t="shared" ref="E944:E958" si="167">+B944+C944+D944</f>
        <v>26068.68</v>
      </c>
      <c r="F944" s="8"/>
      <c r="G944" s="8"/>
      <c r="H944" s="9"/>
      <c r="I944" s="8"/>
      <c r="J944" s="18"/>
      <c r="K944" s="8"/>
      <c r="L944" s="18"/>
      <c r="M944" s="8"/>
      <c r="N944" s="18"/>
      <c r="O944" s="8"/>
      <c r="P944" s="18"/>
      <c r="Q944" s="8"/>
      <c r="R944" s="18"/>
      <c r="S944" s="8"/>
      <c r="T944" s="18"/>
      <c r="U944" s="8"/>
      <c r="V944" s="18"/>
      <c r="W944" s="8"/>
      <c r="X944" s="18"/>
      <c r="Y944" s="8"/>
      <c r="Z944" s="18"/>
      <c r="AA944" s="8"/>
      <c r="AB944" s="18"/>
      <c r="AC944" s="8"/>
      <c r="AD944" s="18"/>
      <c r="AE944" s="8"/>
      <c r="AF944" s="18"/>
      <c r="AG944" s="8"/>
      <c r="AH944" s="7"/>
    </row>
    <row r="945" spans="1:34" s="3" customFormat="1" ht="11.25" customHeight="1" x14ac:dyDescent="0.15">
      <c r="A945" s="59" t="s">
        <v>173</v>
      </c>
      <c r="B945" s="110">
        <v>61386</v>
      </c>
      <c r="C945" s="110">
        <v>27359.88</v>
      </c>
      <c r="D945" s="58"/>
      <c r="E945" s="52">
        <f t="shared" si="167"/>
        <v>88745.88</v>
      </c>
      <c r="F945" s="8"/>
      <c r="G945" s="8"/>
      <c r="H945" s="9"/>
      <c r="I945" s="8"/>
      <c r="J945" s="18"/>
      <c r="K945" s="8"/>
      <c r="L945" s="18"/>
      <c r="M945" s="8"/>
      <c r="N945" s="18"/>
      <c r="O945" s="8"/>
      <c r="P945" s="18"/>
      <c r="Q945" s="8"/>
      <c r="R945" s="18"/>
      <c r="S945" s="8"/>
      <c r="T945" s="18"/>
      <c r="U945" s="8"/>
      <c r="V945" s="18"/>
      <c r="W945" s="8"/>
      <c r="X945" s="18"/>
      <c r="Y945" s="8"/>
      <c r="Z945" s="18"/>
      <c r="AA945" s="8"/>
      <c r="AB945" s="18"/>
      <c r="AC945" s="8"/>
      <c r="AD945" s="18"/>
      <c r="AE945" s="8"/>
      <c r="AF945" s="18"/>
      <c r="AG945" s="8"/>
      <c r="AH945" s="7"/>
    </row>
    <row r="946" spans="1:34" s="3" customFormat="1" ht="11.25" customHeight="1" x14ac:dyDescent="0.2">
      <c r="A946" s="92" t="s">
        <v>174</v>
      </c>
      <c r="B946" s="110">
        <v>25238.95</v>
      </c>
      <c r="C946" s="113"/>
      <c r="D946" s="58"/>
      <c r="E946" s="52">
        <f t="shared" si="167"/>
        <v>25238.95</v>
      </c>
      <c r="F946" s="8"/>
      <c r="G946" s="8"/>
      <c r="H946" s="9"/>
      <c r="I946" s="8"/>
      <c r="J946" s="18"/>
      <c r="K946" s="8"/>
      <c r="L946" s="18"/>
      <c r="M946" s="8"/>
      <c r="N946" s="18"/>
      <c r="O946" s="8"/>
      <c r="P946" s="18"/>
      <c r="Q946" s="8"/>
      <c r="R946" s="18"/>
      <c r="S946" s="8"/>
      <c r="T946" s="18"/>
      <c r="U946" s="8"/>
      <c r="V946" s="18"/>
      <c r="W946" s="8"/>
      <c r="X946" s="18"/>
      <c r="Y946" s="8"/>
      <c r="Z946" s="18"/>
      <c r="AA946" s="8"/>
      <c r="AB946" s="18"/>
      <c r="AC946" s="8"/>
      <c r="AD946" s="18"/>
      <c r="AE946" s="8"/>
      <c r="AF946" s="18"/>
      <c r="AG946" s="8"/>
      <c r="AH946" s="7"/>
    </row>
    <row r="947" spans="1:34" s="3" customFormat="1" ht="11.25" customHeight="1" x14ac:dyDescent="0.15">
      <c r="A947" s="59" t="s">
        <v>66</v>
      </c>
      <c r="B947" s="110">
        <v>9651.81</v>
      </c>
      <c r="C947" s="110">
        <v>1078.03</v>
      </c>
      <c r="D947" s="58"/>
      <c r="E947" s="52">
        <f t="shared" si="167"/>
        <v>10729.84</v>
      </c>
      <c r="F947" s="8"/>
      <c r="G947" s="8"/>
      <c r="H947" s="9"/>
      <c r="I947" s="8"/>
      <c r="J947" s="18"/>
      <c r="K947" s="8"/>
      <c r="L947" s="18"/>
      <c r="M947" s="8"/>
      <c r="N947" s="18"/>
      <c r="O947" s="8"/>
      <c r="P947" s="18"/>
      <c r="Q947" s="8"/>
      <c r="R947" s="18"/>
      <c r="S947" s="8"/>
      <c r="T947" s="18"/>
      <c r="U947" s="8"/>
      <c r="V947" s="18"/>
      <c r="W947" s="8"/>
      <c r="X947" s="18"/>
      <c r="Y947" s="8"/>
      <c r="Z947" s="18"/>
      <c r="AA947" s="8"/>
      <c r="AB947" s="18"/>
      <c r="AC947" s="8"/>
      <c r="AD947" s="18"/>
      <c r="AE947" s="8"/>
      <c r="AF947" s="18"/>
      <c r="AG947" s="8"/>
      <c r="AH947" s="7"/>
    </row>
    <row r="948" spans="1:34" s="3" customFormat="1" ht="11.25" customHeight="1" x14ac:dyDescent="0.2">
      <c r="A948" s="92" t="s">
        <v>175</v>
      </c>
      <c r="B948" s="110">
        <v>2569.46</v>
      </c>
      <c r="C948" s="113"/>
      <c r="D948" s="58"/>
      <c r="E948" s="52">
        <f t="shared" si="167"/>
        <v>2569.46</v>
      </c>
      <c r="F948" s="8"/>
      <c r="G948" s="8"/>
      <c r="H948" s="9"/>
      <c r="I948" s="8"/>
      <c r="J948" s="18"/>
      <c r="K948" s="8"/>
      <c r="L948" s="18"/>
      <c r="M948" s="8"/>
      <c r="N948" s="18"/>
      <c r="O948" s="8"/>
      <c r="P948" s="18"/>
      <c r="Q948" s="8"/>
      <c r="R948" s="18"/>
      <c r="S948" s="8"/>
      <c r="T948" s="18"/>
      <c r="U948" s="8"/>
      <c r="V948" s="18"/>
      <c r="W948" s="8"/>
      <c r="X948" s="18"/>
      <c r="Y948" s="8"/>
      <c r="Z948" s="18"/>
      <c r="AA948" s="8"/>
      <c r="AB948" s="18"/>
      <c r="AC948" s="8"/>
      <c r="AD948" s="18"/>
      <c r="AE948" s="8"/>
      <c r="AF948" s="18"/>
      <c r="AG948" s="8"/>
      <c r="AH948" s="7"/>
    </row>
    <row r="949" spans="1:34" s="3" customFormat="1" ht="11.25" customHeight="1" x14ac:dyDescent="0.15">
      <c r="A949" s="92" t="s">
        <v>176</v>
      </c>
      <c r="B949" s="110">
        <v>2810.44</v>
      </c>
      <c r="C949" s="110">
        <v>187.25</v>
      </c>
      <c r="D949" s="58"/>
      <c r="E949" s="52">
        <f t="shared" si="167"/>
        <v>2997.69</v>
      </c>
      <c r="F949" s="8"/>
      <c r="G949" s="8"/>
      <c r="H949" s="9"/>
      <c r="I949" s="8"/>
      <c r="J949" s="18"/>
      <c r="K949" s="8"/>
      <c r="L949" s="18"/>
      <c r="M949" s="8"/>
      <c r="N949" s="18"/>
      <c r="O949" s="8"/>
      <c r="P949" s="18"/>
      <c r="Q949" s="8"/>
      <c r="R949" s="18"/>
      <c r="S949" s="8"/>
      <c r="T949" s="18"/>
      <c r="U949" s="8"/>
      <c r="V949" s="18"/>
      <c r="W949" s="8"/>
      <c r="X949" s="18"/>
      <c r="Y949" s="8"/>
      <c r="Z949" s="18"/>
      <c r="AA949" s="8"/>
      <c r="AB949" s="18"/>
      <c r="AC949" s="8"/>
      <c r="AD949" s="18"/>
      <c r="AE949" s="8"/>
      <c r="AF949" s="18"/>
      <c r="AG949" s="8"/>
      <c r="AH949" s="7"/>
    </row>
    <row r="950" spans="1:34" x14ac:dyDescent="0.25">
      <c r="A950" s="59" t="s">
        <v>91</v>
      </c>
      <c r="B950" s="112">
        <v>500</v>
      </c>
      <c r="C950" s="114"/>
      <c r="D950" s="58"/>
      <c r="E950" s="52">
        <f t="shared" si="167"/>
        <v>500</v>
      </c>
    </row>
    <row r="951" spans="1:34" x14ac:dyDescent="0.25">
      <c r="A951" s="59" t="s">
        <v>102</v>
      </c>
      <c r="B951" s="110">
        <v>654144</v>
      </c>
      <c r="C951" s="110">
        <v>35360.5</v>
      </c>
      <c r="D951" s="58"/>
      <c r="E951" s="52">
        <f t="shared" si="167"/>
        <v>689504.5</v>
      </c>
    </row>
    <row r="952" spans="1:34" x14ac:dyDescent="0.25">
      <c r="A952" s="59" t="s">
        <v>62</v>
      </c>
      <c r="B952" s="112">
        <v>93149</v>
      </c>
      <c r="C952" s="110">
        <v>18055.52</v>
      </c>
      <c r="D952" s="58"/>
      <c r="E952" s="52">
        <f t="shared" si="167"/>
        <v>111204.52</v>
      </c>
    </row>
    <row r="953" spans="1:34" x14ac:dyDescent="0.25">
      <c r="A953" s="59" t="s">
        <v>10</v>
      </c>
      <c r="B953" s="112">
        <v>632641</v>
      </c>
      <c r="C953" s="110">
        <v>120000</v>
      </c>
      <c r="D953" s="58"/>
      <c r="E953" s="52">
        <f t="shared" si="167"/>
        <v>752641</v>
      </c>
    </row>
    <row r="954" spans="1:34" x14ac:dyDescent="0.25">
      <c r="A954" s="87" t="s">
        <v>68</v>
      </c>
      <c r="B954" s="111">
        <v>0</v>
      </c>
      <c r="C954" s="96"/>
      <c r="D954" s="58"/>
      <c r="E954" s="52">
        <f t="shared" si="167"/>
        <v>0</v>
      </c>
    </row>
    <row r="955" spans="1:34" x14ac:dyDescent="0.25">
      <c r="A955" s="59" t="s">
        <v>93</v>
      </c>
      <c r="B955" s="112">
        <v>2119</v>
      </c>
      <c r="C955" s="96"/>
      <c r="D955" s="58"/>
      <c r="E955" s="52">
        <f t="shared" si="167"/>
        <v>2119</v>
      </c>
    </row>
    <row r="956" spans="1:34" x14ac:dyDescent="0.25">
      <c r="A956" s="59" t="s">
        <v>12</v>
      </c>
      <c r="B956" s="112">
        <v>1600</v>
      </c>
      <c r="C956" s="96"/>
      <c r="D956" s="58"/>
      <c r="E956" s="52">
        <f t="shared" si="167"/>
        <v>1600</v>
      </c>
    </row>
    <row r="957" spans="1:34" x14ac:dyDescent="0.25">
      <c r="A957" s="59" t="s">
        <v>172</v>
      </c>
      <c r="B957" s="112">
        <v>1131</v>
      </c>
      <c r="C957" s="96"/>
      <c r="D957" s="58"/>
      <c r="E957" s="52">
        <f t="shared" si="167"/>
        <v>1131</v>
      </c>
    </row>
    <row r="958" spans="1:34" x14ac:dyDescent="0.25">
      <c r="A958" s="92" t="s">
        <v>177</v>
      </c>
      <c r="B958" s="111">
        <v>141480</v>
      </c>
      <c r="C958" s="96"/>
      <c r="D958" s="58"/>
      <c r="E958" s="52">
        <f t="shared" si="167"/>
        <v>141480</v>
      </c>
    </row>
    <row r="959" spans="1:34" x14ac:dyDescent="0.25">
      <c r="A959" s="9"/>
      <c r="B959" s="40"/>
      <c r="C959" s="49"/>
      <c r="D959" s="40"/>
      <c r="E959" s="51"/>
      <c r="F959" s="29">
        <f>SUM(E943:E958)</f>
        <v>1903584.78</v>
      </c>
    </row>
    <row r="960" spans="1:34" ht="18.75" x14ac:dyDescent="0.4">
      <c r="A960" s="32" t="s">
        <v>111</v>
      </c>
      <c r="B960" s="40"/>
      <c r="C960" s="40"/>
      <c r="D960" s="40"/>
      <c r="E960" s="51"/>
      <c r="F960" s="29"/>
      <c r="G960">
        <f>1907161.48+100920</f>
        <v>2008081.48</v>
      </c>
    </row>
    <row r="961" spans="1:37" x14ac:dyDescent="0.25">
      <c r="A961" s="59"/>
      <c r="B961" s="58"/>
      <c r="C961" s="58"/>
      <c r="D961" s="58"/>
      <c r="E961" s="58">
        <f t="shared" ref="E961:E962" si="168">+B961+C961+D961</f>
        <v>0</v>
      </c>
      <c r="F961" s="29"/>
      <c r="G961" s="29">
        <f>+F959+F964</f>
        <v>2004504.78</v>
      </c>
    </row>
    <row r="962" spans="1:37" x14ac:dyDescent="0.25">
      <c r="A962" s="59"/>
      <c r="B962" s="58"/>
      <c r="C962" s="58"/>
      <c r="D962" s="58"/>
      <c r="E962" s="58">
        <f t="shared" si="168"/>
        <v>0</v>
      </c>
      <c r="F962" s="29"/>
      <c r="G962" s="29">
        <f>+G960-G961</f>
        <v>3576.6999999999534</v>
      </c>
    </row>
    <row r="963" spans="1:37" ht="18.75" x14ac:dyDescent="0.4">
      <c r="A963" s="32" t="s">
        <v>112</v>
      </c>
      <c r="B963" s="40"/>
      <c r="C963" s="40"/>
      <c r="D963" s="40"/>
      <c r="E963" s="51"/>
      <c r="F963" s="29"/>
    </row>
    <row r="964" spans="1:37" x14ac:dyDescent="0.25">
      <c r="A964" s="60" t="s">
        <v>157</v>
      </c>
      <c r="B964" s="58">
        <v>100920</v>
      </c>
      <c r="C964" s="58">
        <v>0</v>
      </c>
      <c r="D964" s="58"/>
      <c r="E964" s="58">
        <f t="shared" ref="E964:E965" si="169">+B964+C964+D964</f>
        <v>100920</v>
      </c>
      <c r="F964" s="29">
        <f>+E964</f>
        <v>100920</v>
      </c>
    </row>
    <row r="965" spans="1:37" x14ac:dyDescent="0.25">
      <c r="A965" s="60" t="s">
        <v>75</v>
      </c>
      <c r="B965" s="61">
        <v>0</v>
      </c>
      <c r="C965" s="58"/>
      <c r="D965" s="58"/>
      <c r="E965" s="58">
        <f t="shared" si="169"/>
        <v>0</v>
      </c>
      <c r="F965" s="29"/>
    </row>
    <row r="966" spans="1:37" ht="18.75" x14ac:dyDescent="0.4">
      <c r="A966" s="34" t="s">
        <v>113</v>
      </c>
      <c r="B966" s="40"/>
      <c r="C966" s="40"/>
      <c r="D966" s="40"/>
      <c r="E966" s="51"/>
      <c r="F966" s="29"/>
    </row>
    <row r="967" spans="1:37" x14ac:dyDescent="0.25">
      <c r="A967" s="59" t="s">
        <v>75</v>
      </c>
      <c r="B967" s="58">
        <v>0</v>
      </c>
      <c r="C967" s="98">
        <v>0</v>
      </c>
      <c r="D967" s="58"/>
      <c r="E967" s="58">
        <f>+B967+C967+D967</f>
        <v>0</v>
      </c>
      <c r="F967" s="29"/>
    </row>
    <row r="968" spans="1:37" s="3" customFormat="1" ht="11.25" customHeight="1" x14ac:dyDescent="0.25">
      <c r="A968"/>
      <c r="B968"/>
      <c r="C968"/>
      <c r="D968"/>
      <c r="E968"/>
      <c r="F968"/>
      <c r="G968" s="8"/>
      <c r="H968" s="9"/>
      <c r="I968" s="8"/>
      <c r="J968" s="18"/>
      <c r="K968" s="8"/>
      <c r="L968" s="18"/>
      <c r="M968" s="8"/>
      <c r="N968" s="18"/>
      <c r="O968" s="8"/>
      <c r="P968" s="18"/>
      <c r="Q968" s="8"/>
      <c r="R968" s="18"/>
      <c r="S968" s="8"/>
      <c r="T968" s="18"/>
      <c r="U968" s="8"/>
      <c r="V968" s="18"/>
      <c r="W968" s="8"/>
      <c r="X968" s="18"/>
      <c r="Y968" s="8"/>
      <c r="Z968" s="18"/>
      <c r="AA968" s="8"/>
      <c r="AB968" s="18"/>
      <c r="AC968" s="8"/>
      <c r="AD968" s="18"/>
      <c r="AE968" s="8"/>
      <c r="AF968" s="18"/>
      <c r="AG968" s="8"/>
      <c r="AH968" s="7"/>
      <c r="AK968" s="10"/>
    </row>
    <row r="969" spans="1:37" s="3" customFormat="1" ht="11.25" customHeight="1" x14ac:dyDescent="0.25">
      <c r="A969"/>
      <c r="B969"/>
      <c r="C969"/>
      <c r="D969"/>
      <c r="E969"/>
      <c r="F969"/>
      <c r="G969" s="8"/>
      <c r="H969" s="9"/>
      <c r="I969" s="8"/>
      <c r="J969" s="18"/>
      <c r="K969" s="8"/>
      <c r="L969" s="18"/>
      <c r="M969" s="8"/>
      <c r="N969" s="18"/>
      <c r="O969" s="8"/>
      <c r="P969" s="18"/>
      <c r="Q969" s="8"/>
      <c r="R969" s="18"/>
      <c r="S969" s="8"/>
      <c r="T969" s="18"/>
      <c r="U969" s="8"/>
      <c r="V969" s="18"/>
      <c r="W969" s="8"/>
      <c r="X969" s="18"/>
      <c r="Y969" s="8"/>
      <c r="Z969" s="18"/>
      <c r="AA969" s="8"/>
      <c r="AB969" s="18"/>
      <c r="AC969" s="8"/>
      <c r="AD969" s="18"/>
      <c r="AE969" s="8"/>
      <c r="AF969" s="18"/>
      <c r="AG969" s="8"/>
      <c r="AH969" s="7"/>
    </row>
    <row r="970" spans="1:37" s="3" customFormat="1" ht="11.25" customHeight="1" x14ac:dyDescent="0.25">
      <c r="A970"/>
      <c r="B970"/>
      <c r="C970"/>
      <c r="D970"/>
      <c r="E970"/>
      <c r="F970"/>
      <c r="G970" s="8"/>
      <c r="H970" s="9"/>
      <c r="I970" s="8"/>
      <c r="J970" s="18"/>
      <c r="K970" s="8"/>
      <c r="L970" s="18"/>
      <c r="M970" s="8"/>
      <c r="N970" s="18"/>
      <c r="O970" s="8"/>
      <c r="P970" s="18"/>
      <c r="Q970" s="8"/>
      <c r="R970" s="18"/>
      <c r="S970" s="8"/>
      <c r="T970" s="18"/>
      <c r="U970" s="8"/>
      <c r="V970" s="18"/>
      <c r="W970" s="8"/>
      <c r="X970" s="18"/>
      <c r="Y970" s="8"/>
      <c r="Z970" s="18"/>
      <c r="AA970" s="8"/>
      <c r="AB970" s="18"/>
      <c r="AC970" s="8"/>
      <c r="AD970" s="18"/>
      <c r="AE970" s="8"/>
      <c r="AF970" s="18"/>
      <c r="AG970" s="8"/>
      <c r="AH970" s="7"/>
    </row>
    <row r="971" spans="1:37" s="3" customFormat="1" ht="11.25" customHeight="1" x14ac:dyDescent="0.25">
      <c r="A971"/>
      <c r="B971"/>
      <c r="C971"/>
      <c r="D971"/>
      <c r="E971"/>
      <c r="F971"/>
      <c r="G971" s="8"/>
      <c r="H971" s="9"/>
      <c r="I971" s="8"/>
      <c r="J971" s="18"/>
      <c r="K971" s="11"/>
      <c r="L971" s="18"/>
      <c r="M971" s="11"/>
      <c r="N971" s="18"/>
      <c r="O971" s="11"/>
      <c r="P971" s="18"/>
      <c r="Q971" s="11"/>
      <c r="R971" s="18"/>
      <c r="S971" s="11"/>
      <c r="T971" s="18"/>
      <c r="U971" s="11"/>
      <c r="V971" s="18"/>
      <c r="W971" s="11"/>
      <c r="X971" s="18"/>
      <c r="Y971" s="11"/>
      <c r="Z971" s="18"/>
      <c r="AA971" s="11"/>
      <c r="AB971" s="18"/>
      <c r="AC971" s="11"/>
      <c r="AD971" s="18"/>
      <c r="AE971" s="11"/>
      <c r="AF971" s="18"/>
      <c r="AG971" s="11"/>
      <c r="AH971" s="9"/>
    </row>
    <row r="972" spans="1:37" x14ac:dyDescent="0.25">
      <c r="A972" t="s">
        <v>189</v>
      </c>
      <c r="B972" s="36">
        <f>+B8+B57+B90+B128+B184+B203+B222+B242+B264+B284+B308+B333+B357+B374+B396+B418+B441+B465+B488+B510+B535+B578+B623+B667+B697+B733+B761+B790+B824+B860+B895+B942</f>
        <v>44566875.599999994</v>
      </c>
      <c r="C972" s="36">
        <f t="shared" ref="C972:E972" si="170">+C8+C57+C90+C128+C184+C203+C222+C242+C264+C284+C308+C333+C357+C374+C396+C418+C441+C465+C488+C510+C535+C578+C623+C667+C697+C733+C761+C790+C824+C860+C895+C942</f>
        <v>19973815.230000008</v>
      </c>
      <c r="D972" s="36">
        <f t="shared" si="170"/>
        <v>196051360.84000003</v>
      </c>
      <c r="E972" s="36">
        <f t="shared" si="170"/>
        <v>260592051.67000005</v>
      </c>
    </row>
    <row r="973" spans="1:37" x14ac:dyDescent="0.25">
      <c r="A973" t="s">
        <v>188</v>
      </c>
      <c r="B973" s="94">
        <v>40147896.629999988</v>
      </c>
      <c r="C973"/>
      <c r="D973"/>
      <c r="E973"/>
      <c r="G973" s="29"/>
    </row>
    <row r="974" spans="1:37" x14ac:dyDescent="0.25">
      <c r="B974" s="133">
        <f>+B972-B973</f>
        <v>4418978.9700000063</v>
      </c>
      <c r="C974" t="s">
        <v>182</v>
      </c>
      <c r="D974"/>
      <c r="E974" s="36">
        <f>+B733</f>
        <v>4743421.2699999996</v>
      </c>
    </row>
    <row r="975" spans="1:37" x14ac:dyDescent="0.25">
      <c r="E975" s="36" t="s">
        <v>75</v>
      </c>
    </row>
  </sheetData>
  <mergeCells count="35">
    <mergeCell ref="A694:E694"/>
    <mergeCell ref="A730:E730"/>
    <mergeCell ref="A5:E5"/>
    <mergeCell ref="A261:E261"/>
    <mergeCell ref="A239:E239"/>
    <mergeCell ref="A575:E575"/>
    <mergeCell ref="A620:E620"/>
    <mergeCell ref="A664:E664"/>
    <mergeCell ref="A415:E415"/>
    <mergeCell ref="A438:E438"/>
    <mergeCell ref="A462:E462"/>
    <mergeCell ref="A485:E485"/>
    <mergeCell ref="A507:E507"/>
    <mergeCell ref="A532:E532"/>
    <mergeCell ref="A219:E219"/>
    <mergeCell ref="A281:E281"/>
    <mergeCell ref="A1:E1"/>
    <mergeCell ref="A2:E2"/>
    <mergeCell ref="A3:E3"/>
    <mergeCell ref="A54:E54"/>
    <mergeCell ref="A200:E200"/>
    <mergeCell ref="A87:E87"/>
    <mergeCell ref="A125:E125"/>
    <mergeCell ref="A181:E181"/>
    <mergeCell ref="A305:E305"/>
    <mergeCell ref="A330:E330"/>
    <mergeCell ref="A354:E354"/>
    <mergeCell ref="A371:E371"/>
    <mergeCell ref="A393:E393"/>
    <mergeCell ref="A892:E892"/>
    <mergeCell ref="A939:E939"/>
    <mergeCell ref="A758:E758"/>
    <mergeCell ref="A787:E787"/>
    <mergeCell ref="A821:E821"/>
    <mergeCell ref="A857:E857"/>
  </mergeCells>
  <pageMargins left="0.70866141732283472" right="0.70866141732283472" top="0.74803149606299213" bottom="0.74803149606299213" header="0.31496062992125984" footer="0.31496062992125984"/>
  <pageSetup scale="2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1705"/>
  <sheetViews>
    <sheetView tabSelected="1" topLeftCell="A207" zoomScale="120" zoomScaleNormal="120" workbookViewId="0">
      <selection activeCell="A213" sqref="A213"/>
    </sheetView>
  </sheetViews>
  <sheetFormatPr baseColWidth="10" defaultRowHeight="15" x14ac:dyDescent="0.25"/>
  <cols>
    <col min="1" max="1" width="62.7109375" customWidth="1"/>
    <col min="2" max="2" width="17.85546875" style="36" customWidth="1"/>
    <col min="3" max="3" width="15" style="36" customWidth="1"/>
    <col min="4" max="4" width="14.85546875" style="36" customWidth="1"/>
    <col min="5" max="5" width="16.28515625" style="36" bestFit="1" customWidth="1"/>
    <col min="6" max="6" width="9.85546875" bestFit="1" customWidth="1"/>
    <col min="7" max="7" width="8.85546875" bestFit="1" customWidth="1"/>
    <col min="8" max="8" width="11.5703125" bestFit="1" customWidth="1"/>
    <col min="9" max="9" width="10.28515625" customWidth="1"/>
    <col min="10" max="10" width="11.5703125" bestFit="1" customWidth="1"/>
    <col min="11" max="11" width="8.42578125" bestFit="1" customWidth="1"/>
    <col min="12" max="17" width="11.5703125" bestFit="1" customWidth="1"/>
    <col min="18" max="18" width="12.85546875" customWidth="1"/>
    <col min="19" max="19" width="12.28515625" bestFit="1" customWidth="1"/>
  </cols>
  <sheetData>
    <row r="1" spans="1:19" ht="19.5" x14ac:dyDescent="0.4">
      <c r="A1" s="176" t="s">
        <v>104</v>
      </c>
      <c r="B1" s="177"/>
      <c r="C1" s="177"/>
      <c r="D1" s="177"/>
      <c r="E1" s="178"/>
    </row>
    <row r="2" spans="1:19" ht="19.5" x14ac:dyDescent="0.4">
      <c r="A2" s="179" t="s">
        <v>114</v>
      </c>
      <c r="B2" s="180"/>
      <c r="C2" s="180"/>
      <c r="D2" s="180"/>
      <c r="E2" s="181"/>
    </row>
    <row r="3" spans="1:19" ht="20.25" thickBot="1" x14ac:dyDescent="0.45">
      <c r="A3" s="182" t="s">
        <v>115</v>
      </c>
      <c r="B3" s="183"/>
      <c r="C3" s="183"/>
      <c r="D3" s="183"/>
      <c r="E3" s="184"/>
    </row>
    <row r="4" spans="1:19" x14ac:dyDescent="0.25">
      <c r="G4" s="29" t="s">
        <v>75</v>
      </c>
    </row>
    <row r="5" spans="1:19" ht="18.75" x14ac:dyDescent="0.4">
      <c r="A5" s="169" t="s">
        <v>159</v>
      </c>
      <c r="B5" s="169"/>
      <c r="C5" s="169"/>
      <c r="D5" s="169"/>
      <c r="E5" s="169"/>
      <c r="G5" s="29"/>
    </row>
    <row r="6" spans="1:19" ht="18.75" x14ac:dyDescent="0.4">
      <c r="A6" s="12"/>
      <c r="B6" s="42"/>
      <c r="C6" s="42"/>
      <c r="D6" s="42"/>
      <c r="E6" s="42"/>
      <c r="G6" s="29"/>
    </row>
    <row r="7" spans="1:19" ht="30" x14ac:dyDescent="0.25">
      <c r="A7" s="33" t="s">
        <v>105</v>
      </c>
      <c r="B7" s="38" t="s">
        <v>106</v>
      </c>
      <c r="C7" s="38" t="s">
        <v>107</v>
      </c>
      <c r="D7" s="38" t="s">
        <v>108</v>
      </c>
      <c r="E7" s="38" t="s">
        <v>109</v>
      </c>
      <c r="G7" s="38" t="s">
        <v>192</v>
      </c>
      <c r="H7" s="38" t="s">
        <v>193</v>
      </c>
      <c r="I7" s="38" t="s">
        <v>194</v>
      </c>
      <c r="J7" s="38" t="s">
        <v>195</v>
      </c>
      <c r="K7" s="38" t="s">
        <v>196</v>
      </c>
      <c r="L7" s="38" t="s">
        <v>197</v>
      </c>
      <c r="M7" s="38" t="s">
        <v>198</v>
      </c>
      <c r="N7" s="38" t="s">
        <v>199</v>
      </c>
      <c r="O7" s="38" t="s">
        <v>200</v>
      </c>
      <c r="P7" s="38" t="s">
        <v>201</v>
      </c>
      <c r="Q7" s="38" t="s">
        <v>202</v>
      </c>
      <c r="R7" s="38" t="s">
        <v>203</v>
      </c>
    </row>
    <row r="8" spans="1:19" ht="18.75" x14ac:dyDescent="0.4">
      <c r="A8" s="32" t="s">
        <v>110</v>
      </c>
      <c r="B8" s="37">
        <f>SUM(B9:B55)</f>
        <v>0</v>
      </c>
      <c r="C8" s="135">
        <f>SUM(C9:C55)</f>
        <v>9640962.379999999</v>
      </c>
      <c r="D8" s="135">
        <f>SUM(D9:D55)</f>
        <v>197735696.37000003</v>
      </c>
      <c r="E8" s="135">
        <f>SUM(E9:E55)</f>
        <v>207376658.75000003</v>
      </c>
      <c r="G8" s="29"/>
    </row>
    <row r="9" spans="1:19" x14ac:dyDescent="0.25">
      <c r="A9" s="57" t="s">
        <v>1</v>
      </c>
      <c r="B9" s="52"/>
      <c r="C9" s="61">
        <v>1595527.03</v>
      </c>
      <c r="D9" s="58"/>
      <c r="E9" s="58">
        <f>+B9+C9+D9</f>
        <v>1595527.03</v>
      </c>
      <c r="F9" s="138">
        <f>SUM(G9:R9)</f>
        <v>1595527.0300000003</v>
      </c>
      <c r="G9" s="138">
        <v>167050.5</v>
      </c>
      <c r="H9" s="138">
        <v>390309.88</v>
      </c>
      <c r="I9" s="138">
        <v>321693.28000000003</v>
      </c>
      <c r="J9" s="138">
        <f>177193.82-139097.64</f>
        <v>38096.179999999993</v>
      </c>
      <c r="K9" s="138">
        <v>0</v>
      </c>
      <c r="L9" s="138">
        <v>38743.050000000003</v>
      </c>
      <c r="M9" s="138">
        <v>29107.74</v>
      </c>
      <c r="N9" s="138">
        <v>22697.39</v>
      </c>
      <c r="O9" s="138">
        <v>0</v>
      </c>
      <c r="P9" s="138">
        <f>149176.79-34138.78</f>
        <v>115038.01000000001</v>
      </c>
      <c r="Q9" s="138">
        <v>208987.2</v>
      </c>
      <c r="R9" s="138">
        <v>263803.8</v>
      </c>
      <c r="S9" s="137"/>
    </row>
    <row r="10" spans="1:19" x14ac:dyDescent="0.25">
      <c r="A10" s="57" t="s">
        <v>2</v>
      </c>
      <c r="B10" s="52"/>
      <c r="C10" s="61">
        <v>47928.88</v>
      </c>
      <c r="D10" s="58"/>
      <c r="E10" s="58">
        <f t="shared" ref="E10:E24" si="0">+B10+C10+D10</f>
        <v>47928.88</v>
      </c>
      <c r="F10" s="138">
        <f>SUM(G10:R10)</f>
        <v>47928.88</v>
      </c>
      <c r="G10" s="138">
        <v>0</v>
      </c>
      <c r="H10" s="138">
        <v>0</v>
      </c>
      <c r="I10" s="138">
        <v>0</v>
      </c>
      <c r="J10" s="138">
        <v>0</v>
      </c>
      <c r="K10" s="138">
        <f>45725-0.12</f>
        <v>45724.88</v>
      </c>
      <c r="L10" s="138">
        <v>0</v>
      </c>
      <c r="M10" s="138">
        <v>0</v>
      </c>
      <c r="N10" s="138">
        <v>2204</v>
      </c>
      <c r="O10" s="138">
        <v>0</v>
      </c>
      <c r="P10" s="138">
        <v>0</v>
      </c>
      <c r="Q10" s="138">
        <v>0</v>
      </c>
      <c r="R10" s="138">
        <v>0</v>
      </c>
      <c r="S10" s="137"/>
    </row>
    <row r="11" spans="1:19" x14ac:dyDescent="0.25">
      <c r="A11" s="57" t="s">
        <v>17</v>
      </c>
      <c r="B11" s="58"/>
      <c r="C11" s="61">
        <v>13549.08</v>
      </c>
      <c r="D11" s="50"/>
      <c r="E11" s="58">
        <f t="shared" si="0"/>
        <v>13549.08</v>
      </c>
      <c r="F11" s="138">
        <f t="shared" ref="F11:F24" si="1">SUM(G11:R11)</f>
        <v>13549.08</v>
      </c>
      <c r="G11" s="138">
        <v>0</v>
      </c>
      <c r="H11" s="138">
        <v>0</v>
      </c>
      <c r="I11" s="138">
        <v>0</v>
      </c>
      <c r="J11" s="138">
        <v>110</v>
      </c>
      <c r="K11" s="138">
        <v>274</v>
      </c>
      <c r="L11" s="138">
        <v>0</v>
      </c>
      <c r="M11" s="138">
        <f>4466-0.92</f>
        <v>4465.08</v>
      </c>
      <c r="N11" s="138">
        <v>4408</v>
      </c>
      <c r="O11" s="138">
        <v>4292</v>
      </c>
      <c r="P11" s="138">
        <v>0</v>
      </c>
      <c r="Q11" s="138">
        <v>0</v>
      </c>
      <c r="R11" s="138">
        <v>0</v>
      </c>
      <c r="S11" s="137"/>
    </row>
    <row r="12" spans="1:19" x14ac:dyDescent="0.25">
      <c r="A12" s="72" t="s">
        <v>162</v>
      </c>
      <c r="B12" s="58"/>
      <c r="C12" s="61">
        <v>4657.3999999999996</v>
      </c>
      <c r="D12" s="50"/>
      <c r="E12" s="58">
        <f t="shared" si="0"/>
        <v>4657.3999999999996</v>
      </c>
      <c r="F12" s="138">
        <f t="shared" si="1"/>
        <v>4657.3999999999996</v>
      </c>
      <c r="G12" s="138">
        <v>0</v>
      </c>
      <c r="H12" s="138">
        <v>0</v>
      </c>
      <c r="I12" s="138">
        <v>0</v>
      </c>
      <c r="J12" s="138">
        <v>0</v>
      </c>
      <c r="K12" s="138">
        <f>4658-0.6</f>
        <v>4657.3999999999996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7"/>
    </row>
    <row r="13" spans="1:19" x14ac:dyDescent="0.25">
      <c r="A13" s="57" t="s">
        <v>6</v>
      </c>
      <c r="B13" s="67"/>
      <c r="C13" s="61">
        <v>8143.26</v>
      </c>
      <c r="D13" s="58"/>
      <c r="E13" s="58">
        <f t="shared" si="0"/>
        <v>8143.26</v>
      </c>
      <c r="F13" s="138">
        <f t="shared" si="1"/>
        <v>8143.26</v>
      </c>
      <c r="G13" s="138">
        <v>0</v>
      </c>
      <c r="H13" s="138">
        <v>0</v>
      </c>
      <c r="I13" s="138">
        <v>0</v>
      </c>
      <c r="J13" s="138">
        <v>2515</v>
      </c>
      <c r="K13" s="138">
        <v>0</v>
      </c>
      <c r="L13" s="138">
        <v>0</v>
      </c>
      <c r="M13" s="138">
        <v>2821.5</v>
      </c>
      <c r="N13" s="138">
        <v>47.76</v>
      </c>
      <c r="O13" s="138">
        <v>2759</v>
      </c>
      <c r="P13" s="138">
        <v>0</v>
      </c>
      <c r="Q13" s="138">
        <v>0</v>
      </c>
      <c r="R13" s="138">
        <v>0</v>
      </c>
      <c r="S13" s="137"/>
    </row>
    <row r="14" spans="1:19" x14ac:dyDescent="0.25">
      <c r="A14" s="57" t="s">
        <v>30</v>
      </c>
      <c r="B14" s="67"/>
      <c r="C14" s="61">
        <v>1826.4</v>
      </c>
      <c r="D14" s="58"/>
      <c r="E14" s="58">
        <f t="shared" si="0"/>
        <v>1826.4</v>
      </c>
      <c r="F14" s="138">
        <f t="shared" si="1"/>
        <v>1826.4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1200</v>
      </c>
      <c r="M14" s="138">
        <v>0</v>
      </c>
      <c r="N14" s="138">
        <v>626.4</v>
      </c>
      <c r="O14" s="138">
        <v>0</v>
      </c>
      <c r="P14" s="138">
        <v>0</v>
      </c>
      <c r="Q14" s="138">
        <v>0</v>
      </c>
      <c r="R14" s="138">
        <v>0</v>
      </c>
      <c r="S14" s="137"/>
    </row>
    <row r="15" spans="1:19" x14ac:dyDescent="0.25">
      <c r="A15" s="57" t="s">
        <v>32</v>
      </c>
      <c r="B15" s="67"/>
      <c r="C15" s="61">
        <v>132.24</v>
      </c>
      <c r="D15" s="58"/>
      <c r="E15" s="58">
        <f t="shared" si="0"/>
        <v>132.24</v>
      </c>
      <c r="F15" s="138">
        <f t="shared" si="1"/>
        <v>132.24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132.24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7"/>
    </row>
    <row r="16" spans="1:19" x14ac:dyDescent="0.25">
      <c r="A16" s="57" t="s">
        <v>8</v>
      </c>
      <c r="B16" s="67"/>
      <c r="C16" s="61">
        <v>83.98</v>
      </c>
      <c r="D16" s="58"/>
      <c r="E16" s="58">
        <f t="shared" si="0"/>
        <v>83.98</v>
      </c>
      <c r="F16" s="138">
        <f t="shared" si="1"/>
        <v>83.98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83.98</v>
      </c>
      <c r="O16" s="138">
        <v>0</v>
      </c>
      <c r="P16" s="138">
        <v>0</v>
      </c>
      <c r="Q16" s="138">
        <v>0</v>
      </c>
      <c r="R16" s="138">
        <v>0</v>
      </c>
      <c r="S16" s="137"/>
    </row>
    <row r="17" spans="1:19" x14ac:dyDescent="0.25">
      <c r="A17" s="57" t="s">
        <v>206</v>
      </c>
      <c r="B17" s="67"/>
      <c r="C17" s="61">
        <v>520.87</v>
      </c>
      <c r="D17" s="58"/>
      <c r="E17" s="58">
        <f t="shared" si="0"/>
        <v>520.87</v>
      </c>
      <c r="F17" s="138">
        <f t="shared" si="1"/>
        <v>520.87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78.88</v>
      </c>
      <c r="M17" s="138">
        <v>0</v>
      </c>
      <c r="N17" s="138">
        <v>237.99</v>
      </c>
      <c r="O17" s="138">
        <v>204</v>
      </c>
      <c r="P17" s="138">
        <v>0</v>
      </c>
      <c r="Q17" s="138">
        <v>0</v>
      </c>
      <c r="R17" s="138">
        <v>0</v>
      </c>
      <c r="S17" s="137"/>
    </row>
    <row r="18" spans="1:19" x14ac:dyDescent="0.25">
      <c r="A18" s="57" t="s">
        <v>73</v>
      </c>
      <c r="B18" s="67"/>
      <c r="C18" s="61">
        <v>3382.09</v>
      </c>
      <c r="D18" s="58"/>
      <c r="E18" s="58">
        <f t="shared" si="0"/>
        <v>3382.09</v>
      </c>
      <c r="F18" s="138">
        <f t="shared" si="1"/>
        <v>3382.09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3382.09</v>
      </c>
      <c r="P18" s="138">
        <v>0</v>
      </c>
      <c r="Q18" s="138">
        <v>0</v>
      </c>
      <c r="R18" s="138">
        <v>0</v>
      </c>
      <c r="S18" s="137"/>
    </row>
    <row r="19" spans="1:19" x14ac:dyDescent="0.25">
      <c r="A19" s="57" t="s">
        <v>33</v>
      </c>
      <c r="B19" s="67"/>
      <c r="C19" s="61">
        <v>13675.8</v>
      </c>
      <c r="D19" s="58"/>
      <c r="E19" s="58">
        <f t="shared" si="0"/>
        <v>13675.8</v>
      </c>
      <c r="F19" s="138">
        <f t="shared" si="1"/>
        <v>13675.8</v>
      </c>
      <c r="G19" s="138">
        <v>0</v>
      </c>
      <c r="H19" s="138">
        <v>0</v>
      </c>
      <c r="I19" s="138">
        <v>0</v>
      </c>
      <c r="J19" s="138">
        <v>383</v>
      </c>
      <c r="K19" s="138">
        <v>0</v>
      </c>
      <c r="L19" s="138">
        <v>0</v>
      </c>
      <c r="M19" s="138">
        <v>0</v>
      </c>
      <c r="N19" s="138">
        <f>696-0.2</f>
        <v>695.8</v>
      </c>
      <c r="O19" s="138">
        <v>0</v>
      </c>
      <c r="P19" s="138">
        <v>0</v>
      </c>
      <c r="Q19" s="138">
        <v>12597</v>
      </c>
      <c r="R19" s="138">
        <v>0</v>
      </c>
      <c r="S19" s="137"/>
    </row>
    <row r="20" spans="1:19" x14ac:dyDescent="0.25">
      <c r="A20" s="57" t="s">
        <v>10</v>
      </c>
      <c r="B20" s="67"/>
      <c r="C20" s="61">
        <v>900628.53</v>
      </c>
      <c r="D20" s="58"/>
      <c r="E20" s="58">
        <f t="shared" si="0"/>
        <v>900628.53</v>
      </c>
      <c r="F20" s="138">
        <f>SUM(G20:R20)</f>
        <v>900628.53</v>
      </c>
      <c r="G20" s="138">
        <v>0</v>
      </c>
      <c r="H20" s="138">
        <v>400</v>
      </c>
      <c r="I20" s="138">
        <v>29100</v>
      </c>
      <c r="J20" s="138">
        <v>0</v>
      </c>
      <c r="K20" s="138">
        <v>243742.51</v>
      </c>
      <c r="L20" s="138">
        <v>53872</v>
      </c>
      <c r="M20" s="138">
        <v>14900.02</v>
      </c>
      <c r="N20" s="138">
        <v>112100</v>
      </c>
      <c r="O20" s="138">
        <v>113400</v>
      </c>
      <c r="P20" s="138">
        <v>99870</v>
      </c>
      <c r="Q20" s="138">
        <v>110879</v>
      </c>
      <c r="R20" s="138">
        <v>122365</v>
      </c>
      <c r="S20" s="137"/>
    </row>
    <row r="21" spans="1:19" x14ac:dyDescent="0.25">
      <c r="A21" s="57" t="s">
        <v>118</v>
      </c>
      <c r="B21" s="67"/>
      <c r="C21" s="61">
        <v>49088.34</v>
      </c>
      <c r="D21" s="58"/>
      <c r="E21" s="58">
        <f t="shared" si="0"/>
        <v>49088.34</v>
      </c>
      <c r="F21" s="138">
        <f t="shared" si="1"/>
        <v>49088.340000000004</v>
      </c>
      <c r="G21" s="138">
        <v>0</v>
      </c>
      <c r="H21" s="138">
        <v>0</v>
      </c>
      <c r="I21" s="138">
        <v>15920</v>
      </c>
      <c r="J21" s="138">
        <v>3026.28</v>
      </c>
      <c r="K21" s="138">
        <v>5623.68</v>
      </c>
      <c r="L21" s="138">
        <v>5970.52</v>
      </c>
      <c r="M21" s="138">
        <v>6217.6</v>
      </c>
      <c r="N21" s="138">
        <v>12330.26</v>
      </c>
      <c r="O21" s="138">
        <v>0</v>
      </c>
      <c r="P21" s="138">
        <v>0</v>
      </c>
      <c r="Q21" s="138">
        <v>0</v>
      </c>
      <c r="R21" s="138">
        <v>0</v>
      </c>
      <c r="S21" s="137"/>
    </row>
    <row r="22" spans="1:19" x14ac:dyDescent="0.25">
      <c r="A22" s="57" t="s">
        <v>12</v>
      </c>
      <c r="B22" s="67"/>
      <c r="C22" s="61">
        <v>305.02999999999997</v>
      </c>
      <c r="D22" s="58"/>
      <c r="E22" s="58">
        <f t="shared" si="0"/>
        <v>305.02999999999997</v>
      </c>
      <c r="F22" s="138">
        <f t="shared" si="1"/>
        <v>305.02999999999997</v>
      </c>
      <c r="G22" s="138">
        <v>0</v>
      </c>
      <c r="H22" s="138">
        <v>0</v>
      </c>
      <c r="I22" s="138">
        <v>0</v>
      </c>
      <c r="J22" s="138">
        <v>200</v>
      </c>
      <c r="K22" s="138">
        <v>0</v>
      </c>
      <c r="L22" s="138">
        <v>0</v>
      </c>
      <c r="M22" s="138">
        <v>0</v>
      </c>
      <c r="N22" s="138">
        <v>105.03</v>
      </c>
      <c r="O22" s="138">
        <v>0</v>
      </c>
      <c r="P22" s="138">
        <v>0</v>
      </c>
      <c r="Q22" s="138">
        <v>0</v>
      </c>
      <c r="R22" s="138">
        <v>0</v>
      </c>
      <c r="S22" s="137"/>
    </row>
    <row r="23" spans="1:19" x14ac:dyDescent="0.25">
      <c r="A23" s="57" t="s">
        <v>34</v>
      </c>
      <c r="B23" s="67"/>
      <c r="C23" s="61">
        <v>7593.34</v>
      </c>
      <c r="D23" s="58"/>
      <c r="E23" s="58">
        <f t="shared" si="0"/>
        <v>7593.34</v>
      </c>
      <c r="F23" s="138">
        <f t="shared" si="1"/>
        <v>7593.34</v>
      </c>
      <c r="G23" s="138">
        <v>0</v>
      </c>
      <c r="H23" s="138">
        <v>0</v>
      </c>
      <c r="I23" s="138">
        <v>0</v>
      </c>
      <c r="J23" s="138">
        <v>481</v>
      </c>
      <c r="K23" s="138">
        <v>0</v>
      </c>
      <c r="L23" s="138">
        <v>0</v>
      </c>
      <c r="M23" s="138">
        <v>0</v>
      </c>
      <c r="N23" s="138">
        <f>435-0.76</f>
        <v>434.24</v>
      </c>
      <c r="O23" s="138">
        <v>0</v>
      </c>
      <c r="P23" s="138">
        <v>0</v>
      </c>
      <c r="Q23" s="138">
        <v>4800</v>
      </c>
      <c r="R23" s="138">
        <v>1878.1</v>
      </c>
      <c r="S23" s="137"/>
    </row>
    <row r="24" spans="1:19" x14ac:dyDescent="0.25">
      <c r="A24" s="57" t="s">
        <v>35</v>
      </c>
      <c r="B24" s="67"/>
      <c r="C24" s="61">
        <v>184147.34</v>
      </c>
      <c r="D24" s="58"/>
      <c r="E24" s="58">
        <f t="shared" si="0"/>
        <v>184147.34</v>
      </c>
      <c r="F24" s="138">
        <f t="shared" si="1"/>
        <v>184147.34</v>
      </c>
      <c r="G24" s="138">
        <v>0</v>
      </c>
      <c r="H24" s="138">
        <v>0</v>
      </c>
      <c r="I24" s="138">
        <v>25241.599999999999</v>
      </c>
      <c r="J24" s="138">
        <v>3735.2</v>
      </c>
      <c r="K24" s="138">
        <v>23858.880000000001</v>
      </c>
      <c r="L24" s="138">
        <v>13871.28</v>
      </c>
      <c r="M24" s="138">
        <v>36549.279999999999</v>
      </c>
      <c r="N24" s="138">
        <v>40443.550000000003</v>
      </c>
      <c r="O24" s="138">
        <v>0</v>
      </c>
      <c r="P24" s="138">
        <v>12580</v>
      </c>
      <c r="Q24" s="138">
        <v>10890</v>
      </c>
      <c r="R24" s="138">
        <v>16977.55</v>
      </c>
      <c r="S24" s="137"/>
    </row>
    <row r="25" spans="1:19" x14ac:dyDescent="0.25">
      <c r="A25" s="9"/>
      <c r="B25" s="40"/>
      <c r="C25" s="40"/>
      <c r="D25" s="40"/>
      <c r="E25" s="51"/>
      <c r="F25" s="138" t="s">
        <v>75</v>
      </c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7"/>
    </row>
    <row r="26" spans="1:19" ht="18.75" x14ac:dyDescent="0.4">
      <c r="A26" s="32" t="s">
        <v>111</v>
      </c>
      <c r="B26" s="40"/>
      <c r="C26" s="40"/>
      <c r="D26" s="40"/>
      <c r="E26" s="51"/>
      <c r="F26" s="138" t="s">
        <v>75</v>
      </c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7"/>
    </row>
    <row r="27" spans="1:19" x14ac:dyDescent="0.25">
      <c r="A27" s="59"/>
      <c r="B27" s="58"/>
      <c r="C27" s="58"/>
      <c r="D27" s="58"/>
      <c r="E27" s="58">
        <f t="shared" ref="E27:E28" si="2">+B27+C27+D27</f>
        <v>0</v>
      </c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7"/>
    </row>
    <row r="28" spans="1:19" x14ac:dyDescent="0.25">
      <c r="A28" s="59"/>
      <c r="B28" s="58"/>
      <c r="C28" s="58"/>
      <c r="D28" s="58"/>
      <c r="E28" s="58">
        <f t="shared" si="2"/>
        <v>0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7"/>
    </row>
    <row r="29" spans="1:19" x14ac:dyDescent="0.25">
      <c r="A29" s="9"/>
      <c r="B29" s="40"/>
      <c r="C29" s="40"/>
      <c r="D29" s="40"/>
      <c r="E29" s="40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7"/>
    </row>
    <row r="30" spans="1:19" ht="18.75" x14ac:dyDescent="0.4">
      <c r="A30" s="32" t="s">
        <v>112</v>
      </c>
      <c r="B30" s="40"/>
      <c r="C30" s="40"/>
      <c r="D30" s="40"/>
      <c r="E30" s="51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7"/>
    </row>
    <row r="31" spans="1:19" ht="15.75" x14ac:dyDescent="0.3">
      <c r="A31" s="116" t="s">
        <v>209</v>
      </c>
      <c r="B31" s="40"/>
      <c r="C31" s="40"/>
      <c r="D31" s="40"/>
      <c r="E31" s="51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7"/>
    </row>
    <row r="32" spans="1:19" x14ac:dyDescent="0.25">
      <c r="A32" s="60" t="s">
        <v>210</v>
      </c>
      <c r="B32" s="58">
        <v>0</v>
      </c>
      <c r="C32" s="61">
        <v>1122024.3799999999</v>
      </c>
      <c r="D32" s="58"/>
      <c r="E32" s="58">
        <f t="shared" ref="E32" si="3">+B32+C32+D32</f>
        <v>1122024.3799999999</v>
      </c>
      <c r="F32" s="138">
        <f t="shared" ref="F32:F33" si="4">SUM(G32:R32)</f>
        <v>1122024.3799999999</v>
      </c>
      <c r="G32" s="138">
        <v>1122024.3799999999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R32" s="138">
        <v>0</v>
      </c>
      <c r="S32" s="137"/>
    </row>
    <row r="33" spans="1:19" x14ac:dyDescent="0.25">
      <c r="A33" s="60" t="s">
        <v>120</v>
      </c>
      <c r="B33" s="58">
        <v>0</v>
      </c>
      <c r="C33" s="61">
        <v>88195.15</v>
      </c>
      <c r="D33" s="58"/>
      <c r="E33" s="58">
        <f t="shared" ref="E33" si="5">+B33+C33+D33</f>
        <v>88195.15</v>
      </c>
      <c r="F33" s="138">
        <f t="shared" si="4"/>
        <v>88195.15</v>
      </c>
      <c r="G33" s="138">
        <v>88195.15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7"/>
    </row>
    <row r="34" spans="1:19" ht="15.75" x14ac:dyDescent="0.3">
      <c r="A34" s="116" t="s">
        <v>208</v>
      </c>
      <c r="B34" s="40"/>
      <c r="C34" s="40"/>
      <c r="D34" s="40"/>
      <c r="E34" s="51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7"/>
    </row>
    <row r="35" spans="1:19" x14ac:dyDescent="0.25">
      <c r="A35" s="60" t="s">
        <v>120</v>
      </c>
      <c r="B35" s="58">
        <v>0</v>
      </c>
      <c r="C35" s="61">
        <v>5402177.5599999996</v>
      </c>
      <c r="D35" s="58"/>
      <c r="E35" s="58">
        <f t="shared" ref="E35" si="6">+B35+C35+D35</f>
        <v>5402177.5599999996</v>
      </c>
      <c r="F35" s="138">
        <f t="shared" ref="F35:F50" si="7">SUM(G35:R35)</f>
        <v>5402177.5599999996</v>
      </c>
      <c r="G35" s="138">
        <v>0</v>
      </c>
      <c r="H35" s="138">
        <v>5402177.5599999996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138">
        <v>0</v>
      </c>
      <c r="S35" s="137"/>
    </row>
    <row r="36" spans="1:19" ht="15.75" x14ac:dyDescent="0.3">
      <c r="A36" s="116" t="s">
        <v>160</v>
      </c>
      <c r="B36" s="40"/>
      <c r="C36" s="40"/>
      <c r="D36" s="40"/>
      <c r="E36" s="51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7"/>
    </row>
    <row r="37" spans="1:19" x14ac:dyDescent="0.25">
      <c r="A37" s="60" t="s">
        <v>120</v>
      </c>
      <c r="B37" s="58">
        <v>0</v>
      </c>
      <c r="C37" s="61">
        <v>0</v>
      </c>
      <c r="D37" s="61">
        <v>37117080</v>
      </c>
      <c r="E37" s="58">
        <f t="shared" ref="E37" si="8">+B37+C37+D37</f>
        <v>37117080</v>
      </c>
      <c r="F37" s="138">
        <f t="shared" si="7"/>
        <v>37117080</v>
      </c>
      <c r="G37" s="138">
        <v>3093090</v>
      </c>
      <c r="H37" s="138">
        <v>3093090</v>
      </c>
      <c r="I37" s="138">
        <v>3093090</v>
      </c>
      <c r="J37" s="138">
        <v>3093090</v>
      </c>
      <c r="K37" s="138">
        <v>3093090</v>
      </c>
      <c r="L37" s="138">
        <v>3093090</v>
      </c>
      <c r="M37" s="138">
        <v>3093090</v>
      </c>
      <c r="N37" s="138">
        <v>3093090</v>
      </c>
      <c r="O37" s="138">
        <v>3093090</v>
      </c>
      <c r="P37" s="138">
        <v>3093090</v>
      </c>
      <c r="Q37" s="138">
        <v>3093090</v>
      </c>
      <c r="R37" s="138">
        <v>3093090</v>
      </c>
      <c r="S37" s="137"/>
    </row>
    <row r="38" spans="1:19" ht="15.75" x14ac:dyDescent="0.3">
      <c r="A38" s="116" t="s">
        <v>161</v>
      </c>
      <c r="B38" s="40"/>
      <c r="C38" s="49"/>
      <c r="D38" s="49"/>
      <c r="E38" s="51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7"/>
    </row>
    <row r="39" spans="1:19" x14ac:dyDescent="0.25">
      <c r="A39" s="60" t="s">
        <v>120</v>
      </c>
      <c r="B39" s="58">
        <v>0</v>
      </c>
      <c r="C39" s="61">
        <v>0</v>
      </c>
      <c r="D39" s="61">
        <v>45628255.799999997</v>
      </c>
      <c r="E39" s="58">
        <f t="shared" ref="E39" si="9">+B39+C39+D39</f>
        <v>45628255.799999997</v>
      </c>
      <c r="F39" s="138">
        <f t="shared" si="7"/>
        <v>45628255.79999999</v>
      </c>
      <c r="G39" s="138">
        <v>3802354.65</v>
      </c>
      <c r="H39" s="138">
        <v>3802354.65</v>
      </c>
      <c r="I39" s="138">
        <v>3802354.65</v>
      </c>
      <c r="J39" s="138">
        <v>3802354.65</v>
      </c>
      <c r="K39" s="138">
        <v>3802354.65</v>
      </c>
      <c r="L39" s="138">
        <v>3802354.65</v>
      </c>
      <c r="M39" s="138">
        <v>3802354.65</v>
      </c>
      <c r="N39" s="138">
        <v>3802354.65</v>
      </c>
      <c r="O39" s="138">
        <v>3802354.65</v>
      </c>
      <c r="P39" s="138">
        <v>3802354.65</v>
      </c>
      <c r="Q39" s="138">
        <v>3802354.65</v>
      </c>
      <c r="R39" s="138">
        <v>3802354.65</v>
      </c>
      <c r="S39" s="137"/>
    </row>
    <row r="40" spans="1:19" ht="15.75" x14ac:dyDescent="0.3">
      <c r="A40" s="116" t="s">
        <v>186</v>
      </c>
      <c r="B40" s="40"/>
      <c r="C40" s="49"/>
      <c r="D40" s="49"/>
      <c r="E40" s="51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7"/>
    </row>
    <row r="41" spans="1:19" x14ac:dyDescent="0.25">
      <c r="A41" s="60" t="s">
        <v>120</v>
      </c>
      <c r="B41" s="58">
        <v>0</v>
      </c>
      <c r="C41" s="61">
        <v>0</v>
      </c>
      <c r="D41" s="61">
        <v>102947237.77</v>
      </c>
      <c r="E41" s="58">
        <f t="shared" ref="E41" si="10">+B41+C41+D41</f>
        <v>102947237.77</v>
      </c>
      <c r="F41" s="138">
        <f t="shared" si="7"/>
        <v>102947237.76999998</v>
      </c>
      <c r="G41" s="138">
        <v>8434820.0299999993</v>
      </c>
      <c r="H41" s="138">
        <v>8487898.6699999999</v>
      </c>
      <c r="I41" s="138">
        <v>8572978.5999999996</v>
      </c>
      <c r="J41" s="138">
        <v>8652947.3800000008</v>
      </c>
      <c r="K41" s="138">
        <v>8774738.6699999999</v>
      </c>
      <c r="L41" s="138">
        <v>8848345.9800000004</v>
      </c>
      <c r="M41" s="138">
        <v>8723178.6699999999</v>
      </c>
      <c r="N41" s="138">
        <v>8713050.6099999994</v>
      </c>
      <c r="O41" s="138">
        <v>8434820.0399999991</v>
      </c>
      <c r="P41" s="138">
        <v>8434820.0399999991</v>
      </c>
      <c r="Q41" s="138">
        <v>8434820.0399999991</v>
      </c>
      <c r="R41" s="138">
        <v>8434819.0399999991</v>
      </c>
      <c r="S41" s="137"/>
    </row>
    <row r="42" spans="1:19" ht="15.75" x14ac:dyDescent="0.3">
      <c r="A42" s="116" t="s">
        <v>184</v>
      </c>
      <c r="B42" s="40"/>
      <c r="C42" s="49"/>
      <c r="D42" s="49"/>
      <c r="E42" s="51"/>
      <c r="F42" s="138" t="s">
        <v>75</v>
      </c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7"/>
    </row>
    <row r="43" spans="1:19" x14ac:dyDescent="0.25">
      <c r="A43" s="60" t="s">
        <v>120</v>
      </c>
      <c r="B43" s="58">
        <v>0</v>
      </c>
      <c r="C43" s="61">
        <v>0</v>
      </c>
      <c r="D43" s="61">
        <v>4630340</v>
      </c>
      <c r="E43" s="58">
        <f>+B43+C43+D43</f>
        <v>4630340</v>
      </c>
      <c r="F43" s="138">
        <f t="shared" si="7"/>
        <v>4630340</v>
      </c>
      <c r="G43" s="138">
        <v>385861.67</v>
      </c>
      <c r="H43" s="138">
        <v>385861.67</v>
      </c>
      <c r="I43" s="138">
        <v>385861.67</v>
      </c>
      <c r="J43" s="138">
        <v>385861.67</v>
      </c>
      <c r="K43" s="138">
        <v>385861.67</v>
      </c>
      <c r="L43" s="138">
        <v>385861.67</v>
      </c>
      <c r="M43" s="138">
        <v>385861.67</v>
      </c>
      <c r="N43" s="138">
        <v>385861.67</v>
      </c>
      <c r="O43" s="138">
        <v>385861.66</v>
      </c>
      <c r="P43" s="138">
        <v>385861.66</v>
      </c>
      <c r="Q43" s="138">
        <v>385861.66</v>
      </c>
      <c r="R43" s="138">
        <v>385861.66</v>
      </c>
      <c r="S43" s="137"/>
    </row>
    <row r="44" spans="1:19" ht="15.75" x14ac:dyDescent="0.3">
      <c r="A44" s="116" t="s">
        <v>185</v>
      </c>
      <c r="B44" s="40"/>
      <c r="C44" s="49"/>
      <c r="D44" s="49"/>
      <c r="E44" s="51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7"/>
    </row>
    <row r="45" spans="1:19" x14ac:dyDescent="0.25">
      <c r="A45" s="60" t="s">
        <v>191</v>
      </c>
      <c r="B45" s="58">
        <v>0</v>
      </c>
      <c r="C45" s="61">
        <v>0</v>
      </c>
      <c r="D45" s="61">
        <v>377856.61</v>
      </c>
      <c r="E45" s="58">
        <f t="shared" ref="E45:E48" si="11">+B45+C45+D45</f>
        <v>377856.61</v>
      </c>
      <c r="F45" s="138">
        <f t="shared" si="7"/>
        <v>377856.60999999987</v>
      </c>
      <c r="G45" s="138">
        <v>125952.21</v>
      </c>
      <c r="H45" s="138">
        <v>125952.21</v>
      </c>
      <c r="I45" s="138">
        <v>125952.21</v>
      </c>
      <c r="J45" s="138">
        <v>125952.21</v>
      </c>
      <c r="K45" s="138">
        <v>125952.21</v>
      </c>
      <c r="L45" s="138">
        <v>125952.21</v>
      </c>
      <c r="M45" s="138">
        <v>125952.21</v>
      </c>
      <c r="N45" s="138">
        <v>-90047.79</v>
      </c>
      <c r="O45" s="138">
        <v>-791617.68</v>
      </c>
      <c r="P45" s="138">
        <v>125952.21</v>
      </c>
      <c r="Q45" s="138">
        <v>125952.2</v>
      </c>
      <c r="R45" s="138">
        <v>125952.2</v>
      </c>
      <c r="S45" s="137"/>
    </row>
    <row r="46" spans="1:19" x14ac:dyDescent="0.25">
      <c r="A46" s="60" t="s">
        <v>207</v>
      </c>
      <c r="B46" s="58">
        <v>0</v>
      </c>
      <c r="C46" s="61">
        <v>0</v>
      </c>
      <c r="D46" s="61">
        <v>906334.8</v>
      </c>
      <c r="E46" s="58">
        <f t="shared" si="11"/>
        <v>906334.8</v>
      </c>
      <c r="F46" s="138">
        <f t="shared" si="7"/>
        <v>906331.80000000028</v>
      </c>
      <c r="G46" s="138">
        <v>124047.79</v>
      </c>
      <c r="H46" s="138">
        <v>124047.79</v>
      </c>
      <c r="I46" s="138">
        <v>124047.79</v>
      </c>
      <c r="J46" s="138">
        <v>124047.79</v>
      </c>
      <c r="K46" s="138">
        <v>124047.79</v>
      </c>
      <c r="L46" s="138">
        <v>124047.79</v>
      </c>
      <c r="M46" s="138">
        <v>124047.79</v>
      </c>
      <c r="N46" s="138">
        <v>124047.79</v>
      </c>
      <c r="O46" s="138">
        <v>-458193.91</v>
      </c>
      <c r="P46" s="138">
        <v>124047.79</v>
      </c>
      <c r="Q46" s="138">
        <v>124047.8</v>
      </c>
      <c r="R46" s="138">
        <v>124047.8</v>
      </c>
      <c r="S46" s="137"/>
    </row>
    <row r="47" spans="1:19" x14ac:dyDescent="0.25">
      <c r="A47" s="60" t="s">
        <v>120</v>
      </c>
      <c r="B47" s="58">
        <v>0</v>
      </c>
      <c r="C47" s="61">
        <v>0</v>
      </c>
      <c r="D47" s="61">
        <v>1715811.59</v>
      </c>
      <c r="E47" s="58">
        <f t="shared" si="11"/>
        <v>1715811.59</v>
      </c>
      <c r="F47" s="138">
        <f t="shared" si="7"/>
        <v>1715811.59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216000</v>
      </c>
      <c r="O47" s="138">
        <v>1499811.59</v>
      </c>
      <c r="P47" s="138">
        <v>0</v>
      </c>
      <c r="Q47" s="138">
        <v>0</v>
      </c>
      <c r="R47" s="138">
        <v>0</v>
      </c>
      <c r="S47" s="137"/>
    </row>
    <row r="48" spans="1:19" x14ac:dyDescent="0.25">
      <c r="A48" s="60" t="s">
        <v>205</v>
      </c>
      <c r="B48" s="58">
        <v>0</v>
      </c>
      <c r="C48" s="61">
        <v>108000</v>
      </c>
      <c r="D48" s="61">
        <v>0</v>
      </c>
      <c r="E48" s="58">
        <f t="shared" si="11"/>
        <v>108000</v>
      </c>
      <c r="F48" s="138">
        <f t="shared" si="7"/>
        <v>108000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108000</v>
      </c>
      <c r="N48" s="138">
        <v>0</v>
      </c>
      <c r="O48" s="138">
        <v>0</v>
      </c>
      <c r="P48" s="138">
        <v>0</v>
      </c>
      <c r="Q48" s="138">
        <v>0</v>
      </c>
      <c r="R48" s="138">
        <v>0</v>
      </c>
      <c r="S48" s="137"/>
    </row>
    <row r="49" spans="1:34" ht="15.75" x14ac:dyDescent="0.3">
      <c r="A49" s="116" t="s">
        <v>187</v>
      </c>
      <c r="B49" s="40"/>
      <c r="C49" s="49"/>
      <c r="D49" s="49"/>
      <c r="E49" s="51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7"/>
    </row>
    <row r="50" spans="1:34" x14ac:dyDescent="0.25">
      <c r="A50" s="60" t="s">
        <v>120</v>
      </c>
      <c r="B50" s="58">
        <v>0</v>
      </c>
      <c r="C50" s="61">
        <v>0</v>
      </c>
      <c r="D50" s="61">
        <v>4412779.8</v>
      </c>
      <c r="E50" s="58">
        <f t="shared" ref="E50" si="12">+B50+C50+D50</f>
        <v>4412779.8</v>
      </c>
      <c r="F50" s="138">
        <f t="shared" si="7"/>
        <v>4412779.8</v>
      </c>
      <c r="G50" s="138">
        <f>367731.65</f>
        <v>367731.65</v>
      </c>
      <c r="H50" s="138">
        <v>367731.65</v>
      </c>
      <c r="I50" s="138">
        <v>367731.65</v>
      </c>
      <c r="J50" s="138">
        <v>367731.65</v>
      </c>
      <c r="K50" s="138">
        <v>367731.65</v>
      </c>
      <c r="L50" s="138">
        <v>367731.65</v>
      </c>
      <c r="M50" s="138">
        <v>367731.65</v>
      </c>
      <c r="N50" s="138">
        <v>367731.65</v>
      </c>
      <c r="O50" s="138">
        <v>367731.65</v>
      </c>
      <c r="P50" s="138">
        <v>367731.65</v>
      </c>
      <c r="Q50" s="138">
        <v>367731.65</v>
      </c>
      <c r="R50" s="138">
        <v>367731.65</v>
      </c>
      <c r="S50" s="137"/>
    </row>
    <row r="51" spans="1:34" x14ac:dyDescent="0.25">
      <c r="A51" s="115"/>
      <c r="B51" s="93"/>
      <c r="C51" s="40"/>
      <c r="D51" s="40"/>
      <c r="E51" s="40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7"/>
    </row>
    <row r="52" spans="1:34" ht="18.75" x14ac:dyDescent="0.4">
      <c r="A52" s="34" t="s">
        <v>113</v>
      </c>
      <c r="B52" s="40"/>
      <c r="C52" s="40"/>
      <c r="D52" s="40"/>
      <c r="E52" s="51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7"/>
    </row>
    <row r="53" spans="1:34" x14ac:dyDescent="0.25">
      <c r="A53" s="92" t="s">
        <v>137</v>
      </c>
      <c r="B53" s="61">
        <v>0</v>
      </c>
      <c r="C53" s="61">
        <v>722.68</v>
      </c>
      <c r="D53" s="58"/>
      <c r="E53" s="58">
        <f t="shared" ref="E53:E55" si="13">+B53+C53+D53</f>
        <v>722.68</v>
      </c>
      <c r="F53" s="138">
        <f t="shared" ref="F53:F55" si="14">SUM(G53:R53)</f>
        <v>722.68</v>
      </c>
      <c r="G53" s="138">
        <v>0</v>
      </c>
      <c r="H53" s="138">
        <v>0</v>
      </c>
      <c r="I53" s="138">
        <v>0</v>
      </c>
      <c r="J53" s="138"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8">
        <v>722.68</v>
      </c>
      <c r="Q53" s="138">
        <v>0</v>
      </c>
      <c r="R53" s="138">
        <v>0</v>
      </c>
      <c r="S53" s="137"/>
    </row>
    <row r="54" spans="1:34" x14ac:dyDescent="0.25">
      <c r="A54" s="92" t="s">
        <v>163</v>
      </c>
      <c r="B54" s="96"/>
      <c r="C54" s="61">
        <v>12528</v>
      </c>
      <c r="D54" s="58"/>
      <c r="E54" s="58">
        <f t="shared" si="13"/>
        <v>12528</v>
      </c>
      <c r="F54" s="138">
        <f t="shared" si="14"/>
        <v>12528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38">
        <v>12528</v>
      </c>
      <c r="R54" s="138">
        <v>0</v>
      </c>
      <c r="S54" s="137"/>
    </row>
    <row r="55" spans="1:34" x14ac:dyDescent="0.25">
      <c r="A55" s="92" t="s">
        <v>142</v>
      </c>
      <c r="B55" s="96">
        <v>0</v>
      </c>
      <c r="C55" s="61">
        <v>76125</v>
      </c>
      <c r="D55" s="58"/>
      <c r="E55" s="58">
        <f t="shared" si="13"/>
        <v>76125</v>
      </c>
      <c r="F55" s="138">
        <f t="shared" si="14"/>
        <v>76125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76125</v>
      </c>
      <c r="R55" s="138">
        <v>0</v>
      </c>
      <c r="S55" s="137"/>
    </row>
    <row r="56" spans="1:34" x14ac:dyDescent="0.25">
      <c r="F56" s="138">
        <f>SUM(F9:F55)</f>
        <v>207376655.75000003</v>
      </c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7"/>
    </row>
    <row r="57" spans="1:34" x14ac:dyDescent="0.25"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7"/>
    </row>
    <row r="58" spans="1:34" x14ac:dyDescent="0.25"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7"/>
    </row>
    <row r="59" spans="1:34" ht="18.75" x14ac:dyDescent="0.4">
      <c r="A59" s="185" t="s">
        <v>0</v>
      </c>
      <c r="B59" s="185"/>
      <c r="C59" s="185"/>
      <c r="D59" s="185"/>
      <c r="E59" s="185"/>
      <c r="F59" s="148" t="s">
        <v>75</v>
      </c>
      <c r="G59" s="14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7"/>
    </row>
    <row r="60" spans="1:34" ht="18.75" x14ac:dyDescent="0.4">
      <c r="A60" s="1"/>
      <c r="B60" s="37"/>
      <c r="C60" s="37"/>
      <c r="D60" s="37"/>
      <c r="E60" s="37"/>
      <c r="F60" s="149"/>
      <c r="G60" s="149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7"/>
    </row>
    <row r="61" spans="1:34" ht="45.75" customHeight="1" x14ac:dyDescent="0.25">
      <c r="A61" s="33" t="s">
        <v>105</v>
      </c>
      <c r="B61" s="38" t="s">
        <v>106</v>
      </c>
      <c r="C61" s="38" t="s">
        <v>107</v>
      </c>
      <c r="D61" s="38" t="s">
        <v>108</v>
      </c>
      <c r="E61" s="38" t="s">
        <v>109</v>
      </c>
      <c r="F61" s="149"/>
      <c r="G61" s="38" t="s">
        <v>192</v>
      </c>
      <c r="H61" s="38" t="s">
        <v>193</v>
      </c>
      <c r="I61" s="38" t="s">
        <v>194</v>
      </c>
      <c r="J61" s="38" t="s">
        <v>195</v>
      </c>
      <c r="K61" s="38" t="s">
        <v>196</v>
      </c>
      <c r="L61" s="38" t="s">
        <v>197</v>
      </c>
      <c r="M61" s="38" t="s">
        <v>198</v>
      </c>
      <c r="N61" s="38" t="s">
        <v>199</v>
      </c>
      <c r="O61" s="38" t="s">
        <v>200</v>
      </c>
      <c r="P61" s="38" t="s">
        <v>201</v>
      </c>
      <c r="Q61" s="38" t="s">
        <v>202</v>
      </c>
      <c r="R61" s="38" t="s">
        <v>203</v>
      </c>
      <c r="S61" s="137"/>
    </row>
    <row r="62" spans="1:34" ht="18.75" x14ac:dyDescent="0.4">
      <c r="A62" s="32" t="s">
        <v>110</v>
      </c>
      <c r="B62" s="37">
        <f>SUM(B63:B117)</f>
        <v>7272144.4099999992</v>
      </c>
      <c r="C62" s="134">
        <f>SUM(C63:C117)</f>
        <v>1727996.6800000002</v>
      </c>
      <c r="D62" s="37">
        <f>SUM(D63:D117)</f>
        <v>0</v>
      </c>
      <c r="E62" s="134">
        <f>SUM(E63:E117)</f>
        <v>9000141.089999998</v>
      </c>
      <c r="F62" s="165">
        <f>+E73-F73</f>
        <v>0</v>
      </c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7"/>
    </row>
    <row r="63" spans="1:34" s="3" customFormat="1" ht="11.25" customHeight="1" x14ac:dyDescent="0.15">
      <c r="A63" s="59" t="s">
        <v>1</v>
      </c>
      <c r="B63" s="58">
        <v>42296.66</v>
      </c>
      <c r="C63" s="58"/>
      <c r="D63" s="58"/>
      <c r="E63" s="58">
        <f>+B63+C63+D63</f>
        <v>42296.66</v>
      </c>
      <c r="F63" s="138">
        <f t="shared" ref="F63:F79" si="15">SUM(G63:R63)</f>
        <v>42296.659999999996</v>
      </c>
      <c r="G63" s="142">
        <v>0</v>
      </c>
      <c r="H63" s="138">
        <v>0</v>
      </c>
      <c r="I63" s="138">
        <v>198.97</v>
      </c>
      <c r="J63" s="138">
        <v>139.16999999999999</v>
      </c>
      <c r="K63" s="138">
        <f>31950.2-21321.29</f>
        <v>10628.91</v>
      </c>
      <c r="L63" s="138">
        <v>0</v>
      </c>
      <c r="M63" s="138">
        <v>0</v>
      </c>
      <c r="N63" s="138">
        <v>26062.65</v>
      </c>
      <c r="O63" s="138">
        <v>612.78</v>
      </c>
      <c r="P63" s="138">
        <v>4654.18</v>
      </c>
      <c r="Q63" s="138">
        <v>0</v>
      </c>
      <c r="R63" s="138">
        <v>0</v>
      </c>
      <c r="S63" s="139"/>
      <c r="U63" s="4"/>
      <c r="W63" s="4"/>
      <c r="Y63" s="4"/>
      <c r="AA63" s="4"/>
      <c r="AC63" s="4"/>
      <c r="AE63" s="4"/>
      <c r="AG63" s="4"/>
    </row>
    <row r="64" spans="1:34" s="3" customFormat="1" ht="11.25" customHeight="1" x14ac:dyDescent="0.15">
      <c r="A64" s="59" t="s">
        <v>2</v>
      </c>
      <c r="B64" s="61">
        <v>17261.72</v>
      </c>
      <c r="C64" s="52"/>
      <c r="D64" s="58"/>
      <c r="E64" s="58">
        <f t="shared" ref="E64:E79" si="16">+B64+C64+D64</f>
        <v>17261.72</v>
      </c>
      <c r="F64" s="138">
        <f t="shared" si="15"/>
        <v>17261.72</v>
      </c>
      <c r="G64" s="142">
        <v>0</v>
      </c>
      <c r="H64" s="142">
        <v>0</v>
      </c>
      <c r="I64" s="146">
        <v>0</v>
      </c>
      <c r="J64" s="146">
        <v>2784</v>
      </c>
      <c r="K64" s="146">
        <v>4405.68</v>
      </c>
      <c r="L64" s="146">
        <v>0</v>
      </c>
      <c r="M64" s="146">
        <v>5428.8</v>
      </c>
      <c r="N64" s="146">
        <v>0</v>
      </c>
      <c r="O64" s="146">
        <v>3800</v>
      </c>
      <c r="P64" s="146">
        <v>0</v>
      </c>
      <c r="Q64" s="146">
        <v>843.24</v>
      </c>
      <c r="R64" s="146">
        <v>0</v>
      </c>
      <c r="S64" s="140"/>
      <c r="T64" s="7"/>
      <c r="U64" s="8"/>
      <c r="V64" s="7"/>
      <c r="W64" s="8"/>
      <c r="X64" s="7"/>
      <c r="Y64" s="8"/>
      <c r="Z64" s="7"/>
      <c r="AA64" s="8"/>
      <c r="AB64" s="7"/>
      <c r="AC64" s="8"/>
      <c r="AD64" s="7"/>
      <c r="AE64" s="8"/>
      <c r="AF64" s="7"/>
      <c r="AG64" s="8"/>
      <c r="AH64" s="7"/>
    </row>
    <row r="65" spans="1:37" s="3" customFormat="1" ht="11.25" customHeight="1" x14ac:dyDescent="0.15">
      <c r="A65" s="87" t="s">
        <v>117</v>
      </c>
      <c r="B65" s="61">
        <v>34.97</v>
      </c>
      <c r="C65" s="54"/>
      <c r="D65" s="50"/>
      <c r="E65" s="58">
        <f t="shared" si="16"/>
        <v>34.97</v>
      </c>
      <c r="F65" s="138">
        <f t="shared" si="15"/>
        <v>34.97</v>
      </c>
      <c r="G65" s="142">
        <v>0</v>
      </c>
      <c r="H65" s="142">
        <v>0</v>
      </c>
      <c r="I65" s="146">
        <v>34.97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0</v>
      </c>
      <c r="P65" s="142">
        <v>0</v>
      </c>
      <c r="Q65" s="142">
        <v>0</v>
      </c>
      <c r="R65" s="142">
        <v>0</v>
      </c>
      <c r="S65" s="140"/>
      <c r="T65" s="7"/>
      <c r="U65" s="8"/>
      <c r="V65" s="7"/>
      <c r="W65" s="8"/>
      <c r="X65" s="7"/>
      <c r="Y65" s="8"/>
      <c r="Z65" s="7"/>
      <c r="AA65" s="8"/>
      <c r="AB65" s="7"/>
      <c r="AC65" s="8"/>
      <c r="AD65" s="7"/>
      <c r="AE65" s="8"/>
      <c r="AF65" s="7"/>
      <c r="AG65" s="8"/>
      <c r="AH65" s="7"/>
      <c r="AK65" s="10"/>
    </row>
    <row r="66" spans="1:37" s="3" customFormat="1" ht="11.25" customHeight="1" x14ac:dyDescent="0.15">
      <c r="A66" s="59" t="s">
        <v>3</v>
      </c>
      <c r="B66" s="61">
        <v>9471.52</v>
      </c>
      <c r="C66" s="52"/>
      <c r="D66" s="58"/>
      <c r="E66" s="58">
        <f t="shared" si="16"/>
        <v>9471.52</v>
      </c>
      <c r="F66" s="138">
        <f t="shared" si="15"/>
        <v>9471.5199999999986</v>
      </c>
      <c r="G66" s="142">
        <v>0</v>
      </c>
      <c r="H66" s="142">
        <v>0</v>
      </c>
      <c r="I66" s="142">
        <v>0</v>
      </c>
      <c r="J66" s="146">
        <v>190.01</v>
      </c>
      <c r="K66" s="146">
        <v>863.2</v>
      </c>
      <c r="L66" s="142">
        <v>0</v>
      </c>
      <c r="M66" s="142">
        <v>0</v>
      </c>
      <c r="N66" s="142">
        <v>0</v>
      </c>
      <c r="O66" s="142">
        <v>0</v>
      </c>
      <c r="P66" s="146">
        <v>3000</v>
      </c>
      <c r="Q66" s="146">
        <v>4350</v>
      </c>
      <c r="R66" s="146">
        <v>1068.31</v>
      </c>
      <c r="S66" s="140"/>
      <c r="T66" s="7"/>
      <c r="U66" s="8"/>
      <c r="V66" s="7"/>
      <c r="W66" s="8"/>
      <c r="X66" s="7"/>
      <c r="Y66" s="8"/>
      <c r="Z66" s="7"/>
      <c r="AA66" s="8"/>
      <c r="AB66" s="7"/>
      <c r="AC66" s="8"/>
      <c r="AD66" s="7"/>
      <c r="AE66" s="8"/>
      <c r="AF66" s="7"/>
      <c r="AG66" s="8"/>
      <c r="AH66" s="7"/>
    </row>
    <row r="67" spans="1:37" x14ac:dyDescent="0.25">
      <c r="A67" s="59" t="s">
        <v>6</v>
      </c>
      <c r="B67" s="61">
        <v>7380.6</v>
      </c>
      <c r="C67" s="58"/>
      <c r="D67" s="58"/>
      <c r="E67" s="58">
        <f t="shared" si="16"/>
        <v>7380.6</v>
      </c>
      <c r="F67" s="138">
        <f t="shared" si="15"/>
        <v>7380.6</v>
      </c>
      <c r="G67" s="142">
        <v>0</v>
      </c>
      <c r="H67" s="142">
        <v>0</v>
      </c>
      <c r="I67" s="138">
        <v>349.3</v>
      </c>
      <c r="J67" s="142">
        <v>0</v>
      </c>
      <c r="K67" s="138">
        <v>1649.82</v>
      </c>
      <c r="L67" s="138">
        <v>1677.5</v>
      </c>
      <c r="M67" s="142">
        <v>0</v>
      </c>
      <c r="N67" s="138">
        <v>1890</v>
      </c>
      <c r="O67" s="142">
        <v>0</v>
      </c>
      <c r="P67" s="138">
        <v>1450</v>
      </c>
      <c r="Q67" s="138">
        <v>363.98</v>
      </c>
      <c r="R67" s="138">
        <v>0</v>
      </c>
      <c r="S67" s="137"/>
    </row>
    <row r="68" spans="1:37" x14ac:dyDescent="0.25">
      <c r="A68" s="60" t="s">
        <v>116</v>
      </c>
      <c r="B68" s="61">
        <v>3138.96</v>
      </c>
      <c r="C68" s="58"/>
      <c r="D68" s="58"/>
      <c r="E68" s="58">
        <f t="shared" si="16"/>
        <v>3138.96</v>
      </c>
      <c r="F68" s="138">
        <f t="shared" si="15"/>
        <v>3138.96</v>
      </c>
      <c r="G68" s="142">
        <v>0</v>
      </c>
      <c r="H68" s="142">
        <v>0</v>
      </c>
      <c r="I68" s="142">
        <v>0</v>
      </c>
      <c r="J68" s="142">
        <v>0</v>
      </c>
      <c r="K68" s="142">
        <v>1677.5</v>
      </c>
      <c r="L68" s="142">
        <v>0</v>
      </c>
      <c r="M68" s="142">
        <v>74.459999999999994</v>
      </c>
      <c r="N68" s="142">
        <v>1387</v>
      </c>
      <c r="O68" s="142">
        <v>0</v>
      </c>
      <c r="P68" s="142">
        <v>0</v>
      </c>
      <c r="Q68" s="142">
        <v>0</v>
      </c>
      <c r="R68" s="142">
        <v>0</v>
      </c>
      <c r="S68" s="137"/>
    </row>
    <row r="69" spans="1:37" x14ac:dyDescent="0.25">
      <c r="A69" s="59" t="s">
        <v>7</v>
      </c>
      <c r="B69" s="58"/>
      <c r="C69" s="58"/>
      <c r="D69" s="58"/>
      <c r="E69" s="58">
        <f t="shared" si="16"/>
        <v>0</v>
      </c>
      <c r="F69" s="138">
        <f t="shared" si="15"/>
        <v>0</v>
      </c>
      <c r="G69" s="142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8">
        <v>0</v>
      </c>
      <c r="R69" s="138">
        <v>0</v>
      </c>
      <c r="S69" s="137"/>
    </row>
    <row r="70" spans="1:37" x14ac:dyDescent="0.25">
      <c r="A70" s="59" t="s">
        <v>8</v>
      </c>
      <c r="B70" s="58">
        <v>10672</v>
      </c>
      <c r="C70" s="58"/>
      <c r="D70" s="58"/>
      <c r="E70" s="58">
        <f t="shared" si="16"/>
        <v>10672</v>
      </c>
      <c r="F70" s="138">
        <f t="shared" si="15"/>
        <v>1067.2</v>
      </c>
      <c r="G70" s="142">
        <v>0</v>
      </c>
      <c r="H70" s="142">
        <v>0</v>
      </c>
      <c r="I70" s="142">
        <v>0</v>
      </c>
      <c r="J70" s="138">
        <v>0</v>
      </c>
      <c r="K70" s="138">
        <v>0</v>
      </c>
      <c r="L70" s="138">
        <v>1067.2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7"/>
    </row>
    <row r="71" spans="1:37" x14ac:dyDescent="0.25">
      <c r="A71" s="59" t="s">
        <v>9</v>
      </c>
      <c r="B71" s="58">
        <v>9056.66</v>
      </c>
      <c r="C71" s="58"/>
      <c r="D71" s="58"/>
      <c r="E71" s="58">
        <f t="shared" si="16"/>
        <v>9056.66</v>
      </c>
      <c r="F71" s="138">
        <f t="shared" si="15"/>
        <v>9056.66</v>
      </c>
      <c r="G71" s="142">
        <v>0</v>
      </c>
      <c r="H71" s="142">
        <v>0</v>
      </c>
      <c r="I71" s="142">
        <v>0</v>
      </c>
      <c r="J71" s="138">
        <v>0</v>
      </c>
      <c r="K71" s="138">
        <v>2000</v>
      </c>
      <c r="L71" s="138">
        <v>7042</v>
      </c>
      <c r="M71" s="138">
        <v>14.66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7"/>
    </row>
    <row r="72" spans="1:37" x14ac:dyDescent="0.25">
      <c r="A72" s="60" t="s">
        <v>165</v>
      </c>
      <c r="B72" s="61">
        <v>0</v>
      </c>
      <c r="C72" s="61">
        <v>3060.54</v>
      </c>
      <c r="D72" s="58"/>
      <c r="E72" s="58">
        <f t="shared" si="16"/>
        <v>3060.54</v>
      </c>
      <c r="F72" s="138">
        <f t="shared" si="15"/>
        <v>3060.54</v>
      </c>
      <c r="G72" s="142">
        <v>0</v>
      </c>
      <c r="H72" s="142">
        <v>0</v>
      </c>
      <c r="I72" s="142">
        <v>0</v>
      </c>
      <c r="J72" s="138">
        <v>156.6</v>
      </c>
      <c r="K72" s="138">
        <v>2903.94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38">
        <v>0</v>
      </c>
      <c r="S72" s="137"/>
    </row>
    <row r="73" spans="1:37" x14ac:dyDescent="0.25">
      <c r="A73" s="59" t="s">
        <v>10</v>
      </c>
      <c r="B73" s="58">
        <f>236241.52+100000+23704.57</f>
        <v>359946.09</v>
      </c>
      <c r="C73" s="58">
        <v>51000</v>
      </c>
      <c r="D73" s="58"/>
      <c r="E73" s="58">
        <f t="shared" si="16"/>
        <v>410946.09</v>
      </c>
      <c r="F73" s="138">
        <f t="shared" si="15"/>
        <v>410946.08999999997</v>
      </c>
      <c r="G73">
        <v>0</v>
      </c>
      <c r="H73" s="138">
        <v>0</v>
      </c>
      <c r="I73" s="138">
        <v>1100</v>
      </c>
      <c r="J73" s="138">
        <v>12500</v>
      </c>
      <c r="K73" s="138">
        <v>31248</v>
      </c>
      <c r="L73" s="138">
        <v>40464</v>
      </c>
      <c r="M73" s="138">
        <f>40464+6099.98</f>
        <v>46563.979999999996</v>
      </c>
      <c r="N73" s="138">
        <f>80928+10750.11</f>
        <v>91678.11</v>
      </c>
      <c r="O73" s="138">
        <f>40464+15000</f>
        <v>55464</v>
      </c>
      <c r="P73" s="138">
        <v>40464</v>
      </c>
      <c r="Q73" s="138">
        <v>40464</v>
      </c>
      <c r="R73" s="138">
        <v>51000</v>
      </c>
      <c r="S73" s="137"/>
    </row>
    <row r="74" spans="1:37" x14ac:dyDescent="0.25">
      <c r="A74" s="60" t="s">
        <v>118</v>
      </c>
      <c r="B74" s="58">
        <v>4877.8</v>
      </c>
      <c r="C74" s="58"/>
      <c r="D74" s="58"/>
      <c r="E74" s="58">
        <f t="shared" si="16"/>
        <v>4877.8</v>
      </c>
      <c r="F74" s="138">
        <f t="shared" si="15"/>
        <v>4877.8</v>
      </c>
      <c r="G74">
        <v>0</v>
      </c>
      <c r="H74" s="138">
        <v>0</v>
      </c>
      <c r="I74" s="138">
        <v>0</v>
      </c>
      <c r="J74" s="138">
        <v>0</v>
      </c>
      <c r="K74" s="138">
        <v>1629.8</v>
      </c>
      <c r="L74" s="138">
        <v>0</v>
      </c>
      <c r="M74" s="138">
        <v>0</v>
      </c>
      <c r="N74" s="138">
        <v>3248</v>
      </c>
      <c r="O74" s="138">
        <v>0</v>
      </c>
      <c r="P74" s="138">
        <v>0</v>
      </c>
      <c r="Q74" s="138">
        <v>0</v>
      </c>
      <c r="R74" s="138">
        <v>0</v>
      </c>
      <c r="S74" s="137"/>
    </row>
    <row r="75" spans="1:37" x14ac:dyDescent="0.25">
      <c r="A75" s="59" t="s">
        <v>11</v>
      </c>
      <c r="B75" s="61">
        <v>0</v>
      </c>
      <c r="C75" s="61">
        <v>1717.36</v>
      </c>
      <c r="D75" s="58"/>
      <c r="E75" s="58">
        <f t="shared" si="16"/>
        <v>1717.36</v>
      </c>
      <c r="F75" s="138">
        <f t="shared" si="15"/>
        <v>1717.36</v>
      </c>
      <c r="G75" s="138">
        <v>0</v>
      </c>
      <c r="H75" s="138">
        <v>0</v>
      </c>
      <c r="I75" s="138">
        <v>0</v>
      </c>
      <c r="J75" s="138">
        <v>0</v>
      </c>
      <c r="K75" s="138">
        <v>1717.36</v>
      </c>
      <c r="L75" s="138">
        <v>0</v>
      </c>
      <c r="M75" s="138">
        <v>0</v>
      </c>
      <c r="N75" s="138">
        <v>0</v>
      </c>
      <c r="O75" s="138">
        <v>0</v>
      </c>
      <c r="P75" s="138">
        <v>0</v>
      </c>
      <c r="Q75" s="138">
        <v>0</v>
      </c>
      <c r="R75" s="138">
        <v>0</v>
      </c>
      <c r="S75" s="137"/>
    </row>
    <row r="76" spans="1:37" x14ac:dyDescent="0.25">
      <c r="A76" s="59" t="s">
        <v>12</v>
      </c>
      <c r="B76" s="58">
        <v>1096.2</v>
      </c>
      <c r="C76" s="58"/>
      <c r="D76" s="58"/>
      <c r="E76" s="58">
        <f t="shared" si="16"/>
        <v>1096.2</v>
      </c>
      <c r="F76" s="138">
        <f t="shared" si="15"/>
        <v>1096.2</v>
      </c>
      <c r="G76" s="138">
        <v>0</v>
      </c>
      <c r="H76" s="138">
        <v>0</v>
      </c>
      <c r="I76" s="138">
        <v>0</v>
      </c>
      <c r="J76" s="138">
        <v>0</v>
      </c>
      <c r="K76" s="138">
        <v>0</v>
      </c>
      <c r="L76" s="138">
        <v>0</v>
      </c>
      <c r="M76" s="138">
        <v>0</v>
      </c>
      <c r="N76" s="138">
        <v>1096.2</v>
      </c>
      <c r="O76" s="138">
        <v>0</v>
      </c>
      <c r="P76" s="138">
        <v>0</v>
      </c>
      <c r="Q76" s="138">
        <v>0</v>
      </c>
      <c r="R76" s="138">
        <v>0</v>
      </c>
      <c r="S76" s="137"/>
    </row>
    <row r="77" spans="1:37" x14ac:dyDescent="0.25">
      <c r="A77" s="59" t="s">
        <v>13</v>
      </c>
      <c r="B77" s="58">
        <v>0</v>
      </c>
      <c r="C77" s="58"/>
      <c r="D77" s="58"/>
      <c r="E77" s="58">
        <f t="shared" si="16"/>
        <v>0</v>
      </c>
      <c r="F77" s="138">
        <f t="shared" si="15"/>
        <v>0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38">
        <v>0</v>
      </c>
      <c r="S77" s="137"/>
    </row>
    <row r="78" spans="1:37" x14ac:dyDescent="0.25">
      <c r="A78" s="59" t="s">
        <v>14</v>
      </c>
      <c r="B78" s="58">
        <v>9949.48</v>
      </c>
      <c r="C78" s="58"/>
      <c r="D78" s="58"/>
      <c r="E78" s="58">
        <f t="shared" si="16"/>
        <v>9949.48</v>
      </c>
      <c r="F78" s="138">
        <f t="shared" si="15"/>
        <v>9949.48</v>
      </c>
      <c r="G78">
        <v>0</v>
      </c>
      <c r="H78" s="138">
        <v>0</v>
      </c>
      <c r="I78" s="138">
        <v>0</v>
      </c>
      <c r="J78" s="138">
        <v>8587.48</v>
      </c>
      <c r="K78" s="138">
        <v>1000</v>
      </c>
      <c r="L78" s="138">
        <v>44</v>
      </c>
      <c r="M78" s="138">
        <v>318</v>
      </c>
      <c r="N78" s="138">
        <v>0</v>
      </c>
      <c r="O78" s="138">
        <v>0</v>
      </c>
      <c r="P78" s="138">
        <v>0</v>
      </c>
      <c r="Q78" s="138">
        <v>0</v>
      </c>
      <c r="R78" s="138">
        <v>0</v>
      </c>
      <c r="S78" s="137"/>
    </row>
    <row r="79" spans="1:37" x14ac:dyDescent="0.25">
      <c r="A79" s="117" t="s">
        <v>164</v>
      </c>
      <c r="B79" s="58">
        <v>75704.800000000003</v>
      </c>
      <c r="C79" s="63"/>
      <c r="D79" s="58"/>
      <c r="E79" s="58">
        <f t="shared" si="16"/>
        <v>75704.800000000003</v>
      </c>
      <c r="F79" s="138">
        <f t="shared" si="15"/>
        <v>75704.800000000003</v>
      </c>
      <c r="G79">
        <v>0</v>
      </c>
      <c r="H79" s="138">
        <v>0</v>
      </c>
      <c r="I79" s="138">
        <v>0</v>
      </c>
      <c r="J79" s="138">
        <v>0</v>
      </c>
      <c r="K79" s="138">
        <v>8000</v>
      </c>
      <c r="L79" s="138">
        <v>-3023.6</v>
      </c>
      <c r="M79" s="138">
        <v>35459.85</v>
      </c>
      <c r="N79" s="138">
        <v>11936.4</v>
      </c>
      <c r="O79" s="138">
        <v>23332.15</v>
      </c>
      <c r="P79" s="138">
        <v>0</v>
      </c>
      <c r="Q79" s="138">
        <v>0</v>
      </c>
      <c r="R79" s="138">
        <v>0</v>
      </c>
      <c r="S79" s="137"/>
    </row>
    <row r="80" spans="1:37" x14ac:dyDescent="0.25">
      <c r="A80" s="9"/>
      <c r="B80" s="40"/>
      <c r="C80" s="40"/>
      <c r="D80" s="40"/>
      <c r="E80" s="51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7"/>
    </row>
    <row r="81" spans="1:19" ht="18.75" x14ac:dyDescent="0.4">
      <c r="A81" s="32" t="s">
        <v>111</v>
      </c>
      <c r="B81" s="40"/>
      <c r="C81" s="40"/>
      <c r="D81" s="40"/>
      <c r="E81" s="51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7"/>
    </row>
    <row r="82" spans="1:19" x14ac:dyDescent="0.25">
      <c r="A82" s="59"/>
      <c r="B82" s="58"/>
      <c r="C82" s="58"/>
      <c r="D82" s="58"/>
      <c r="E82" s="58">
        <f t="shared" ref="E82:E116" si="17">+B82+C82+D82</f>
        <v>0</v>
      </c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7"/>
    </row>
    <row r="83" spans="1:19" x14ac:dyDescent="0.25">
      <c r="A83" s="59"/>
      <c r="B83" s="58"/>
      <c r="C83" s="58"/>
      <c r="D83" s="58"/>
      <c r="E83" s="58">
        <f t="shared" si="17"/>
        <v>0</v>
      </c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7"/>
    </row>
    <row r="84" spans="1:19" ht="18.75" x14ac:dyDescent="0.4">
      <c r="A84" s="32" t="s">
        <v>112</v>
      </c>
      <c r="B84" s="40"/>
      <c r="C84" s="40"/>
      <c r="D84" s="40"/>
      <c r="E84" s="51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7"/>
    </row>
    <row r="85" spans="1:19" x14ac:dyDescent="0.25">
      <c r="A85" s="164" t="s">
        <v>211</v>
      </c>
      <c r="B85" s="40"/>
      <c r="C85" s="40"/>
      <c r="D85" s="40"/>
      <c r="E85" s="51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7"/>
    </row>
    <row r="86" spans="1:19" x14ac:dyDescent="0.25">
      <c r="A86" s="161" t="s">
        <v>212</v>
      </c>
      <c r="B86" s="58">
        <v>3000000</v>
      </c>
      <c r="C86" s="58">
        <v>0</v>
      </c>
      <c r="D86" s="58">
        <v>0</v>
      </c>
      <c r="E86" s="58">
        <f t="shared" si="17"/>
        <v>3000000</v>
      </c>
      <c r="F86" s="138">
        <f t="shared" ref="F86:F103" si="18">SUM(G86:R86)</f>
        <v>3000000</v>
      </c>
      <c r="G86" s="138">
        <v>0</v>
      </c>
      <c r="H86" s="138">
        <v>500000</v>
      </c>
      <c r="I86" s="138">
        <v>0</v>
      </c>
      <c r="J86" s="138">
        <v>1000000</v>
      </c>
      <c r="K86" s="138">
        <v>0</v>
      </c>
      <c r="L86" s="138">
        <v>0</v>
      </c>
      <c r="M86" s="138">
        <v>0</v>
      </c>
      <c r="N86" s="138">
        <v>1000000</v>
      </c>
      <c r="O86" s="138">
        <v>500000</v>
      </c>
      <c r="P86" s="138">
        <v>0</v>
      </c>
      <c r="Q86" s="138">
        <v>0</v>
      </c>
      <c r="R86" s="138">
        <v>0</v>
      </c>
      <c r="S86" s="137"/>
    </row>
    <row r="87" spans="1:19" x14ac:dyDescent="0.25">
      <c r="A87" s="162" t="s">
        <v>213</v>
      </c>
      <c r="B87" s="163"/>
      <c r="C87" s="163"/>
      <c r="D87" s="40"/>
      <c r="E87" s="40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7"/>
    </row>
    <row r="88" spans="1:19" x14ac:dyDescent="0.25">
      <c r="A88" s="60" t="s">
        <v>205</v>
      </c>
      <c r="B88" s="58">
        <v>1200000</v>
      </c>
      <c r="C88" s="58"/>
      <c r="D88" s="58"/>
      <c r="E88" s="58">
        <f t="shared" si="17"/>
        <v>1200000</v>
      </c>
      <c r="F88" s="138">
        <f t="shared" si="18"/>
        <v>1200000</v>
      </c>
      <c r="G88" s="138">
        <v>0</v>
      </c>
      <c r="H88" s="138">
        <v>0</v>
      </c>
      <c r="I88" s="138">
        <v>0</v>
      </c>
      <c r="J88" s="138">
        <v>0</v>
      </c>
      <c r="K88" s="138">
        <v>140000</v>
      </c>
      <c r="L88" s="138">
        <v>1060000</v>
      </c>
      <c r="M88" s="138">
        <v>0</v>
      </c>
      <c r="N88" s="138">
        <v>0</v>
      </c>
      <c r="O88" s="138">
        <v>0</v>
      </c>
      <c r="P88" s="138">
        <v>0</v>
      </c>
      <c r="Q88" s="138">
        <v>0</v>
      </c>
      <c r="R88" s="138">
        <v>0</v>
      </c>
      <c r="S88" s="137"/>
    </row>
    <row r="89" spans="1:19" x14ac:dyDescent="0.25">
      <c r="A89" s="162" t="s">
        <v>214</v>
      </c>
      <c r="B89" s="40"/>
      <c r="C89" s="40"/>
      <c r="D89" s="40"/>
      <c r="E89" s="40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7"/>
    </row>
    <row r="90" spans="1:19" x14ac:dyDescent="0.25">
      <c r="A90" s="60" t="s">
        <v>205</v>
      </c>
      <c r="B90" s="58">
        <v>944.53</v>
      </c>
      <c r="C90" s="58"/>
      <c r="D90" s="58"/>
      <c r="E90" s="58">
        <f t="shared" si="17"/>
        <v>944.53</v>
      </c>
      <c r="F90" s="138">
        <f t="shared" si="18"/>
        <v>944.53</v>
      </c>
      <c r="G90" s="138">
        <v>0</v>
      </c>
      <c r="H90" s="138">
        <v>0</v>
      </c>
      <c r="I90" s="138">
        <v>0</v>
      </c>
      <c r="J90" s="138">
        <v>0</v>
      </c>
      <c r="K90" s="138">
        <v>944.53</v>
      </c>
      <c r="L90" s="138">
        <v>0</v>
      </c>
      <c r="M90" s="138">
        <v>0</v>
      </c>
      <c r="N90" s="138">
        <v>0</v>
      </c>
      <c r="O90" s="138">
        <v>0</v>
      </c>
      <c r="P90" s="138">
        <v>0</v>
      </c>
      <c r="Q90" s="138">
        <v>0</v>
      </c>
      <c r="R90" s="138">
        <v>0</v>
      </c>
      <c r="S90" s="137"/>
    </row>
    <row r="91" spans="1:19" x14ac:dyDescent="0.25">
      <c r="A91" s="162" t="s">
        <v>215</v>
      </c>
      <c r="B91" s="40" t="s">
        <v>75</v>
      </c>
      <c r="C91" s="40"/>
      <c r="D91" s="40"/>
      <c r="E91" s="40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7"/>
    </row>
    <row r="92" spans="1:19" x14ac:dyDescent="0.25">
      <c r="A92" s="60" t="s">
        <v>205</v>
      </c>
      <c r="B92" s="58">
        <v>1806.8</v>
      </c>
      <c r="C92" s="58"/>
      <c r="D92" s="58"/>
      <c r="E92" s="58">
        <f t="shared" si="17"/>
        <v>1806.8</v>
      </c>
      <c r="F92" s="138">
        <f t="shared" si="18"/>
        <v>1806.8</v>
      </c>
      <c r="G92" s="138">
        <v>0</v>
      </c>
      <c r="H92" s="138">
        <v>0</v>
      </c>
      <c r="I92" s="138">
        <v>0</v>
      </c>
      <c r="J92" s="138">
        <v>0</v>
      </c>
      <c r="K92" s="138">
        <v>1806.8</v>
      </c>
      <c r="L92" s="138">
        <v>0</v>
      </c>
      <c r="M92" s="138">
        <v>0</v>
      </c>
      <c r="N92" s="138">
        <v>0</v>
      </c>
      <c r="O92" s="138">
        <v>0</v>
      </c>
      <c r="P92" s="138">
        <v>0</v>
      </c>
      <c r="Q92" s="138">
        <v>0</v>
      </c>
      <c r="R92" s="138">
        <v>0</v>
      </c>
      <c r="S92" s="137"/>
    </row>
    <row r="93" spans="1:19" x14ac:dyDescent="0.25">
      <c r="A93" s="162" t="s">
        <v>216</v>
      </c>
      <c r="B93" s="163"/>
      <c r="C93" s="163"/>
      <c r="D93" s="163"/>
      <c r="E93" s="163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7"/>
    </row>
    <row r="94" spans="1:19" x14ac:dyDescent="0.25">
      <c r="A94" s="60" t="s">
        <v>205</v>
      </c>
      <c r="B94" s="58">
        <v>105500</v>
      </c>
      <c r="C94" s="58"/>
      <c r="D94" s="58"/>
      <c r="E94" s="58">
        <f t="shared" si="17"/>
        <v>105500</v>
      </c>
      <c r="F94" s="138">
        <f t="shared" si="18"/>
        <v>105500</v>
      </c>
      <c r="G94" s="138">
        <v>0</v>
      </c>
      <c r="H94" s="138">
        <v>0</v>
      </c>
      <c r="I94" s="138">
        <v>0</v>
      </c>
      <c r="J94" s="138">
        <v>0</v>
      </c>
      <c r="K94" s="138">
        <v>105500</v>
      </c>
      <c r="L94" s="138">
        <v>0</v>
      </c>
      <c r="M94" s="138">
        <v>0</v>
      </c>
      <c r="N94" s="138">
        <v>0</v>
      </c>
      <c r="O94" s="138">
        <v>0</v>
      </c>
      <c r="P94" s="138">
        <v>0</v>
      </c>
      <c r="Q94" s="138">
        <v>0</v>
      </c>
      <c r="R94" s="138">
        <v>0</v>
      </c>
      <c r="S94" s="137"/>
    </row>
    <row r="95" spans="1:19" x14ac:dyDescent="0.25">
      <c r="A95" s="162" t="s">
        <v>217</v>
      </c>
      <c r="B95" s="163"/>
      <c r="C95" s="40"/>
      <c r="D95" s="40"/>
      <c r="E95" s="51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7"/>
    </row>
    <row r="96" spans="1:19" x14ac:dyDescent="0.25">
      <c r="A96" s="60" t="s">
        <v>205</v>
      </c>
      <c r="B96" s="58">
        <f>981638.73+311200+243250+198987</f>
        <v>1735075.73</v>
      </c>
      <c r="C96" s="58">
        <v>259887</v>
      </c>
      <c r="D96" s="58"/>
      <c r="E96" s="58">
        <f t="shared" si="17"/>
        <v>1994962.73</v>
      </c>
      <c r="F96" s="138">
        <f t="shared" si="18"/>
        <v>1994962.73</v>
      </c>
      <c r="G96" s="138">
        <v>0</v>
      </c>
      <c r="H96" s="138">
        <v>35798</v>
      </c>
      <c r="I96" s="138">
        <v>120361</v>
      </c>
      <c r="J96" s="138">
        <v>76779</v>
      </c>
      <c r="K96" s="138">
        <f>321400+26949</f>
        <v>348349</v>
      </c>
      <c r="L96" s="138">
        <v>112787.88</v>
      </c>
      <c r="M96" s="138">
        <v>4626.32</v>
      </c>
      <c r="N96" s="138">
        <v>214330.54</v>
      </c>
      <c r="O96" s="138">
        <v>328493.99</v>
      </c>
      <c r="P96" s="138">
        <v>311200</v>
      </c>
      <c r="Q96" s="138">
        <v>243250</v>
      </c>
      <c r="R96" s="138">
        <v>198987</v>
      </c>
      <c r="S96" s="137"/>
    </row>
    <row r="97" spans="1:19" x14ac:dyDescent="0.25">
      <c r="A97" s="60" t="s">
        <v>223</v>
      </c>
      <c r="B97" s="58">
        <v>127000.68</v>
      </c>
      <c r="C97" s="58">
        <f>76790+29870+22450+25890</f>
        <v>155000</v>
      </c>
      <c r="D97" s="58"/>
      <c r="E97" s="58">
        <f t="shared" si="17"/>
        <v>282000.68</v>
      </c>
      <c r="F97" s="138">
        <f t="shared" si="18"/>
        <v>282000.68</v>
      </c>
      <c r="G97" s="138">
        <v>0</v>
      </c>
      <c r="H97" s="138">
        <v>25700</v>
      </c>
      <c r="I97" s="138">
        <v>34200</v>
      </c>
      <c r="J97" s="138">
        <v>15000</v>
      </c>
      <c r="K97" s="138">
        <f>1890+12000</f>
        <v>13890</v>
      </c>
      <c r="L97" s="138">
        <v>32321.29</v>
      </c>
      <c r="M97" s="138">
        <v>21678.71</v>
      </c>
      <c r="N97" s="138">
        <v>14000</v>
      </c>
      <c r="O97" s="138">
        <v>47000.68</v>
      </c>
      <c r="P97" s="138">
        <v>29870</v>
      </c>
      <c r="Q97" s="138">
        <v>22450</v>
      </c>
      <c r="R97" s="138">
        <v>25890</v>
      </c>
      <c r="S97" s="137"/>
    </row>
    <row r="98" spans="1:19" x14ac:dyDescent="0.25">
      <c r="A98" s="162" t="s">
        <v>218</v>
      </c>
      <c r="B98" s="163"/>
      <c r="C98" s="163"/>
      <c r="D98" s="40"/>
      <c r="E98" s="51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7"/>
    </row>
    <row r="99" spans="1:19" x14ac:dyDescent="0.25">
      <c r="A99" s="60" t="s">
        <v>205</v>
      </c>
      <c r="B99" s="58">
        <v>251148</v>
      </c>
      <c r="C99" s="58">
        <v>1247731.76</v>
      </c>
      <c r="D99" s="58"/>
      <c r="E99" s="58">
        <f t="shared" si="17"/>
        <v>1498879.76</v>
      </c>
      <c r="F99" s="138">
        <f t="shared" si="18"/>
        <v>1498879.76</v>
      </c>
      <c r="G99" s="138">
        <v>0</v>
      </c>
      <c r="H99" s="138">
        <v>0</v>
      </c>
      <c r="I99" s="138">
        <v>251148</v>
      </c>
      <c r="J99" s="138">
        <v>0</v>
      </c>
      <c r="K99" s="138">
        <v>0</v>
      </c>
      <c r="L99" s="138">
        <v>0</v>
      </c>
      <c r="M99" s="138">
        <v>0</v>
      </c>
      <c r="N99" s="138">
        <v>1247731.76</v>
      </c>
      <c r="O99" s="138">
        <v>0</v>
      </c>
      <c r="P99" s="138">
        <v>0</v>
      </c>
      <c r="Q99" s="138">
        <v>0</v>
      </c>
      <c r="R99" s="138">
        <v>0</v>
      </c>
      <c r="S99" s="137"/>
    </row>
    <row r="100" spans="1:19" x14ac:dyDescent="0.25">
      <c r="A100" s="162" t="s">
        <v>219</v>
      </c>
      <c r="B100" s="163"/>
      <c r="C100" s="163"/>
      <c r="D100" s="40"/>
      <c r="E100" s="51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7"/>
    </row>
    <row r="101" spans="1:19" x14ac:dyDescent="0.25">
      <c r="A101" s="60" t="s">
        <v>205</v>
      </c>
      <c r="B101" s="58">
        <v>0</v>
      </c>
      <c r="C101" s="58">
        <v>0</v>
      </c>
      <c r="D101" s="58">
        <v>0</v>
      </c>
      <c r="E101" s="58">
        <f t="shared" si="17"/>
        <v>0</v>
      </c>
      <c r="F101" s="138">
        <f t="shared" si="18"/>
        <v>0</v>
      </c>
      <c r="G101" s="138">
        <v>0</v>
      </c>
      <c r="H101" s="138">
        <v>0</v>
      </c>
      <c r="I101" s="138">
        <v>0</v>
      </c>
      <c r="J101" s="138">
        <v>0</v>
      </c>
      <c r="K101" s="138">
        <v>0</v>
      </c>
      <c r="L101" s="138">
        <v>0</v>
      </c>
      <c r="M101" s="138">
        <v>0</v>
      </c>
      <c r="N101" s="138">
        <v>0</v>
      </c>
      <c r="O101" s="138">
        <v>0</v>
      </c>
      <c r="P101" s="138">
        <v>0</v>
      </c>
      <c r="Q101" s="138">
        <v>0</v>
      </c>
      <c r="R101" s="138">
        <v>0</v>
      </c>
      <c r="S101" s="137"/>
    </row>
    <row r="102" spans="1:19" x14ac:dyDescent="0.25">
      <c r="A102" s="162" t="s">
        <v>220</v>
      </c>
      <c r="B102" s="40"/>
      <c r="C102" s="40"/>
      <c r="D102" s="40"/>
      <c r="E102" s="51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7"/>
    </row>
    <row r="103" spans="1:19" x14ac:dyDescent="0.25">
      <c r="A103" s="60" t="s">
        <v>205</v>
      </c>
      <c r="B103" s="58">
        <v>0</v>
      </c>
      <c r="C103" s="58">
        <v>0</v>
      </c>
      <c r="D103" s="58">
        <v>0</v>
      </c>
      <c r="E103" s="58">
        <f t="shared" si="17"/>
        <v>0</v>
      </c>
      <c r="F103" s="138">
        <f t="shared" si="18"/>
        <v>0</v>
      </c>
      <c r="G103" s="138">
        <v>0</v>
      </c>
      <c r="H103" s="138">
        <v>0</v>
      </c>
      <c r="I103" s="138">
        <v>0</v>
      </c>
      <c r="J103" s="138">
        <v>0</v>
      </c>
      <c r="K103" s="138">
        <v>0</v>
      </c>
      <c r="L103" s="138">
        <v>0</v>
      </c>
      <c r="M103" s="138">
        <v>0</v>
      </c>
      <c r="N103" s="138">
        <v>0</v>
      </c>
      <c r="O103" s="138">
        <v>0</v>
      </c>
      <c r="P103" s="138">
        <v>0</v>
      </c>
      <c r="Q103" s="138">
        <v>0</v>
      </c>
      <c r="R103" s="138">
        <v>0</v>
      </c>
      <c r="S103" s="137"/>
    </row>
    <row r="104" spans="1:19" x14ac:dyDescent="0.25">
      <c r="A104" s="162" t="s">
        <v>221</v>
      </c>
      <c r="B104" s="40"/>
      <c r="C104" s="40"/>
      <c r="D104" s="40"/>
      <c r="E104" s="51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7"/>
    </row>
    <row r="105" spans="1:19" x14ac:dyDescent="0.25">
      <c r="A105" s="60" t="s">
        <v>205</v>
      </c>
      <c r="B105" s="58">
        <v>149083.20000000001</v>
      </c>
      <c r="C105" s="58"/>
      <c r="D105" s="58"/>
      <c r="E105" s="58">
        <f t="shared" si="17"/>
        <v>149083.20000000001</v>
      </c>
      <c r="F105" s="138">
        <f t="shared" ref="F105:F107" si="19">SUM(G105:R105)</f>
        <v>149083.20000000001</v>
      </c>
      <c r="G105" s="138">
        <v>0</v>
      </c>
      <c r="H105" s="138">
        <v>0</v>
      </c>
      <c r="I105" s="138">
        <v>0</v>
      </c>
      <c r="J105" s="138">
        <v>0</v>
      </c>
      <c r="K105" s="138">
        <v>149083.20000000001</v>
      </c>
      <c r="L105" s="138">
        <v>0</v>
      </c>
      <c r="M105" s="138">
        <v>0</v>
      </c>
      <c r="N105" s="138">
        <v>0</v>
      </c>
      <c r="O105" s="138">
        <v>0</v>
      </c>
      <c r="P105" s="138">
        <v>0</v>
      </c>
      <c r="Q105" s="138">
        <v>0</v>
      </c>
      <c r="R105" s="138">
        <v>0</v>
      </c>
      <c r="S105" s="137"/>
    </row>
    <row r="106" spans="1:19" x14ac:dyDescent="0.25">
      <c r="A106" s="162" t="s">
        <v>222</v>
      </c>
      <c r="B106" s="40"/>
      <c r="C106" s="40"/>
      <c r="D106" s="40"/>
      <c r="E106" s="51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7"/>
    </row>
    <row r="107" spans="1:19" x14ac:dyDescent="0.25">
      <c r="A107" s="60" t="s">
        <v>205</v>
      </c>
      <c r="B107" s="58">
        <v>133718.01</v>
      </c>
      <c r="C107" s="58"/>
      <c r="D107" s="58"/>
      <c r="E107" s="58">
        <f t="shared" si="17"/>
        <v>133718.01</v>
      </c>
      <c r="F107" s="138">
        <f t="shared" si="19"/>
        <v>133718.01</v>
      </c>
      <c r="G107" s="138">
        <v>0</v>
      </c>
      <c r="H107" s="138">
        <v>0</v>
      </c>
      <c r="I107" s="138">
        <v>0</v>
      </c>
      <c r="J107" s="138">
        <v>0</v>
      </c>
      <c r="K107" s="138">
        <v>0</v>
      </c>
      <c r="L107" s="138">
        <v>133718.01</v>
      </c>
      <c r="M107" s="138">
        <v>0</v>
      </c>
      <c r="N107" s="138">
        <v>0</v>
      </c>
      <c r="O107" s="138">
        <v>0</v>
      </c>
      <c r="P107" s="138">
        <v>0</v>
      </c>
      <c r="Q107" s="138">
        <v>0</v>
      </c>
      <c r="R107" s="138">
        <v>0</v>
      </c>
      <c r="S107" s="137"/>
    </row>
    <row r="108" spans="1:19" x14ac:dyDescent="0.25">
      <c r="A108" s="115"/>
      <c r="B108" s="40"/>
      <c r="C108" s="40"/>
      <c r="D108" s="40"/>
      <c r="E108" s="51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7"/>
    </row>
    <row r="109" spans="1:19" x14ac:dyDescent="0.25">
      <c r="A109" s="115"/>
      <c r="B109" s="40"/>
      <c r="C109" s="40"/>
      <c r="D109" s="40"/>
      <c r="E109" s="51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7"/>
    </row>
    <row r="110" spans="1:19" x14ac:dyDescent="0.25">
      <c r="A110" s="60" t="s">
        <v>120</v>
      </c>
      <c r="B110" s="58">
        <v>16980</v>
      </c>
      <c r="C110" s="58">
        <v>0</v>
      </c>
      <c r="D110" s="58">
        <v>0</v>
      </c>
      <c r="E110" s="58">
        <f t="shared" si="17"/>
        <v>16980</v>
      </c>
      <c r="F110" s="138">
        <f t="shared" ref="F110:F111" si="20">SUM(G110:R110)</f>
        <v>16980</v>
      </c>
      <c r="G110" s="138">
        <v>0</v>
      </c>
      <c r="H110" s="138">
        <v>0</v>
      </c>
      <c r="I110" s="138">
        <v>0</v>
      </c>
      <c r="J110" s="138">
        <v>0</v>
      </c>
      <c r="K110" s="138">
        <v>13600</v>
      </c>
      <c r="L110" s="138">
        <v>0</v>
      </c>
      <c r="M110" s="138">
        <v>0</v>
      </c>
      <c r="N110" s="138">
        <v>3380</v>
      </c>
      <c r="O110" s="138">
        <v>0</v>
      </c>
      <c r="P110" s="138">
        <v>0</v>
      </c>
      <c r="Q110" s="138">
        <v>0</v>
      </c>
      <c r="R110" s="138">
        <v>0</v>
      </c>
      <c r="S110" s="137"/>
    </row>
    <row r="111" spans="1:19" x14ac:dyDescent="0.25">
      <c r="A111" s="60" t="s">
        <v>121</v>
      </c>
      <c r="B111" s="61">
        <v>0</v>
      </c>
      <c r="C111" s="58">
        <v>9600.02</v>
      </c>
      <c r="D111" s="58">
        <v>0</v>
      </c>
      <c r="E111" s="58">
        <f t="shared" si="17"/>
        <v>9600.02</v>
      </c>
      <c r="F111" s="138">
        <f t="shared" si="20"/>
        <v>9600.02</v>
      </c>
      <c r="G111" s="138">
        <v>0</v>
      </c>
      <c r="H111" s="138">
        <v>0</v>
      </c>
      <c r="I111" s="138">
        <v>0</v>
      </c>
      <c r="J111" s="138">
        <v>0</v>
      </c>
      <c r="K111" s="138">
        <v>9600.02</v>
      </c>
      <c r="L111" s="138">
        <v>0</v>
      </c>
      <c r="M111" s="138">
        <v>0</v>
      </c>
      <c r="N111" s="138">
        <v>0</v>
      </c>
      <c r="O111" s="138">
        <v>0</v>
      </c>
      <c r="P111" s="138">
        <v>0</v>
      </c>
      <c r="Q111" s="138">
        <v>0</v>
      </c>
      <c r="R111" s="138">
        <v>0</v>
      </c>
      <c r="S111" s="137"/>
    </row>
    <row r="112" spans="1:19" x14ac:dyDescent="0.25">
      <c r="A112" s="115"/>
      <c r="B112" s="93"/>
      <c r="C112" s="40"/>
      <c r="D112" s="40"/>
      <c r="E112" s="40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7"/>
    </row>
    <row r="113" spans="1:34" x14ac:dyDescent="0.25">
      <c r="A113" s="115"/>
      <c r="B113" s="93"/>
      <c r="C113" s="40"/>
      <c r="D113" s="40"/>
      <c r="E113" s="40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7"/>
    </row>
    <row r="114" spans="1:34" x14ac:dyDescent="0.25">
      <c r="A114" s="115"/>
      <c r="B114" s="93"/>
      <c r="C114" s="40"/>
      <c r="D114" s="40"/>
      <c r="E114" s="40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7"/>
    </row>
    <row r="115" spans="1:34" ht="18.75" x14ac:dyDescent="0.4">
      <c r="A115" s="34" t="s">
        <v>113</v>
      </c>
      <c r="B115" s="40"/>
      <c r="C115" s="40"/>
      <c r="D115" s="40"/>
      <c r="E115" s="51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7"/>
    </row>
    <row r="116" spans="1:34" x14ac:dyDescent="0.25">
      <c r="A116" s="59"/>
      <c r="B116" s="58"/>
      <c r="C116" s="58"/>
      <c r="D116" s="58"/>
      <c r="E116" s="58">
        <f t="shared" si="17"/>
        <v>0</v>
      </c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7"/>
    </row>
    <row r="117" spans="1:34" x14ac:dyDescent="0.25">
      <c r="A117" s="9"/>
      <c r="B117" s="40"/>
      <c r="C117" s="40"/>
      <c r="D117" s="40"/>
      <c r="E117" s="51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7"/>
    </row>
    <row r="118" spans="1:34" ht="18.75" x14ac:dyDescent="0.4">
      <c r="A118" s="169" t="s">
        <v>15</v>
      </c>
      <c r="B118" s="169"/>
      <c r="C118" s="169"/>
      <c r="D118" s="169"/>
      <c r="E118" s="169"/>
      <c r="F118" s="150">
        <v>2021</v>
      </c>
      <c r="G118" s="150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7"/>
    </row>
    <row r="119" spans="1:34" s="14" customFormat="1" ht="18.75" x14ac:dyDescent="0.4">
      <c r="A119" s="12"/>
      <c r="B119" s="41"/>
      <c r="C119" s="41"/>
      <c r="D119" s="41"/>
      <c r="E119" s="41"/>
      <c r="F119" s="151"/>
      <c r="G119" s="151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41"/>
    </row>
    <row r="120" spans="1:34" s="14" customFormat="1" ht="30" x14ac:dyDescent="0.25">
      <c r="A120" s="33" t="s">
        <v>105</v>
      </c>
      <c r="B120" s="38" t="s">
        <v>106</v>
      </c>
      <c r="C120" s="38" t="s">
        <v>107</v>
      </c>
      <c r="D120" s="38" t="s">
        <v>108</v>
      </c>
      <c r="E120" s="38" t="s">
        <v>109</v>
      </c>
      <c r="F120" s="151"/>
      <c r="G120" s="38" t="s">
        <v>192</v>
      </c>
      <c r="H120" s="38" t="s">
        <v>193</v>
      </c>
      <c r="I120" s="38" t="s">
        <v>194</v>
      </c>
      <c r="J120" s="38" t="s">
        <v>195</v>
      </c>
      <c r="K120" s="38" t="s">
        <v>196</v>
      </c>
      <c r="L120" s="38" t="s">
        <v>197</v>
      </c>
      <c r="M120" s="38" t="s">
        <v>198</v>
      </c>
      <c r="N120" s="38" t="s">
        <v>199</v>
      </c>
      <c r="O120" s="38" t="s">
        <v>200</v>
      </c>
      <c r="P120" s="38" t="s">
        <v>201</v>
      </c>
      <c r="Q120" s="38" t="s">
        <v>202</v>
      </c>
      <c r="R120" s="38" t="s">
        <v>203</v>
      </c>
      <c r="S120" s="141"/>
    </row>
    <row r="121" spans="1:34" s="14" customFormat="1" ht="18.75" x14ac:dyDescent="0.4">
      <c r="A121" s="32" t="s">
        <v>110</v>
      </c>
      <c r="B121" s="71">
        <f>SUM(B122:B145)</f>
        <v>976688.72000000009</v>
      </c>
      <c r="C121" s="71">
        <f>SUM(C122:C145)</f>
        <v>0</v>
      </c>
      <c r="D121" s="71">
        <f t="shared" ref="D121:E121" si="21">SUM(D122:D145)</f>
        <v>0</v>
      </c>
      <c r="E121" s="71">
        <f t="shared" si="21"/>
        <v>976688.72000000009</v>
      </c>
      <c r="F121" s="151">
        <v>2021</v>
      </c>
      <c r="G121" s="151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41"/>
    </row>
    <row r="122" spans="1:34" s="3" customFormat="1" ht="11.25" customHeight="1" x14ac:dyDescent="0.15">
      <c r="A122" s="57" t="s">
        <v>1</v>
      </c>
      <c r="B122" s="52">
        <v>63999.75</v>
      </c>
      <c r="C122" s="58"/>
      <c r="D122" s="58"/>
      <c r="E122" s="58">
        <f>+B122+C122+D122</f>
        <v>63999.75</v>
      </c>
      <c r="F122" s="138">
        <f t="shared" ref="F122:F145" si="22">SUM(G122:R122)</f>
        <v>63999.75</v>
      </c>
      <c r="G122" s="138">
        <v>0</v>
      </c>
      <c r="H122" s="138">
        <v>0</v>
      </c>
      <c r="I122" s="138">
        <v>0</v>
      </c>
      <c r="J122" s="138">
        <v>0</v>
      </c>
      <c r="K122" s="138">
        <v>454.77</v>
      </c>
      <c r="L122" s="138">
        <v>1845.98</v>
      </c>
      <c r="M122" s="138">
        <v>0</v>
      </c>
      <c r="N122" s="138">
        <v>0</v>
      </c>
      <c r="O122" s="138">
        <v>3872</v>
      </c>
      <c r="P122" s="138">
        <v>25873</v>
      </c>
      <c r="Q122" s="138">
        <v>12983</v>
      </c>
      <c r="R122" s="138">
        <v>18971</v>
      </c>
      <c r="S122" s="139"/>
      <c r="U122" s="4"/>
      <c r="W122" s="4"/>
      <c r="Y122" s="4"/>
      <c r="AA122" s="4"/>
      <c r="AC122" s="4"/>
      <c r="AE122" s="4"/>
      <c r="AG122" s="4"/>
    </row>
    <row r="123" spans="1:34" s="3" customFormat="1" ht="11.25" customHeight="1" x14ac:dyDescent="0.15">
      <c r="A123" s="57" t="s">
        <v>2</v>
      </c>
      <c r="B123" s="52">
        <v>72511</v>
      </c>
      <c r="C123" s="52"/>
      <c r="D123" s="58"/>
      <c r="E123" s="58">
        <f t="shared" ref="E123:E145" si="23">+B123+C123+D123</f>
        <v>72511</v>
      </c>
      <c r="F123" s="138">
        <f t="shared" si="22"/>
        <v>72511</v>
      </c>
      <c r="G123" s="138">
        <v>0</v>
      </c>
      <c r="H123" s="138">
        <v>0</v>
      </c>
      <c r="I123" s="138">
        <v>0</v>
      </c>
      <c r="J123" s="138">
        <v>0</v>
      </c>
      <c r="K123" s="138">
        <v>0</v>
      </c>
      <c r="L123" s="138">
        <v>0</v>
      </c>
      <c r="M123" s="138">
        <v>0</v>
      </c>
      <c r="N123" s="138">
        <v>0</v>
      </c>
      <c r="O123" s="138">
        <v>0</v>
      </c>
      <c r="P123" s="138">
        <v>42780</v>
      </c>
      <c r="Q123" s="138">
        <v>29731</v>
      </c>
      <c r="R123" s="138">
        <v>0</v>
      </c>
      <c r="S123" s="140"/>
      <c r="T123" s="7"/>
      <c r="U123" s="8"/>
      <c r="V123" s="7"/>
      <c r="W123" s="8"/>
      <c r="X123" s="7"/>
      <c r="Y123" s="8"/>
      <c r="Z123" s="7"/>
      <c r="AA123" s="8"/>
      <c r="AB123" s="7"/>
      <c r="AC123" s="8"/>
      <c r="AD123" s="7"/>
      <c r="AE123" s="8"/>
      <c r="AF123" s="7"/>
      <c r="AG123" s="8"/>
      <c r="AH123" s="7"/>
    </row>
    <row r="124" spans="1:34" x14ac:dyDescent="0.25">
      <c r="A124" s="57" t="s">
        <v>16</v>
      </c>
      <c r="B124" s="67">
        <v>261</v>
      </c>
      <c r="C124" s="58"/>
      <c r="D124" s="58"/>
      <c r="E124" s="58">
        <f t="shared" si="23"/>
        <v>261</v>
      </c>
      <c r="F124" s="138">
        <f t="shared" si="22"/>
        <v>261</v>
      </c>
      <c r="G124" s="138">
        <v>0</v>
      </c>
      <c r="H124" s="138">
        <v>0</v>
      </c>
      <c r="I124" s="138">
        <v>0</v>
      </c>
      <c r="J124" s="138">
        <v>0</v>
      </c>
      <c r="K124" s="138">
        <v>0</v>
      </c>
      <c r="L124" s="138">
        <v>0</v>
      </c>
      <c r="M124" s="138">
        <v>0</v>
      </c>
      <c r="N124" s="138">
        <v>0</v>
      </c>
      <c r="O124" s="138">
        <v>0</v>
      </c>
      <c r="P124" s="138">
        <v>261</v>
      </c>
      <c r="Q124" s="138">
        <v>0</v>
      </c>
      <c r="R124" s="138">
        <v>0</v>
      </c>
      <c r="S124" s="137"/>
    </row>
    <row r="125" spans="1:34" x14ac:dyDescent="0.25">
      <c r="A125" s="57" t="s">
        <v>4</v>
      </c>
      <c r="B125" s="67">
        <v>8361</v>
      </c>
      <c r="C125" s="58"/>
      <c r="D125" s="58"/>
      <c r="E125" s="58">
        <f t="shared" si="23"/>
        <v>8361</v>
      </c>
      <c r="F125" s="138">
        <f t="shared" si="22"/>
        <v>8361</v>
      </c>
      <c r="G125" s="138">
        <v>0</v>
      </c>
      <c r="H125" s="138">
        <v>0</v>
      </c>
      <c r="I125" s="138">
        <v>0</v>
      </c>
      <c r="J125" s="138">
        <v>0</v>
      </c>
      <c r="K125" s="138">
        <v>0</v>
      </c>
      <c r="L125" s="138">
        <v>0</v>
      </c>
      <c r="M125" s="138">
        <v>0</v>
      </c>
      <c r="N125" s="138">
        <v>0</v>
      </c>
      <c r="O125" s="138">
        <v>0</v>
      </c>
      <c r="P125" s="138">
        <v>8361</v>
      </c>
      <c r="Q125" s="138">
        <v>0</v>
      </c>
      <c r="R125" s="138">
        <v>0</v>
      </c>
      <c r="S125" s="137"/>
    </row>
    <row r="126" spans="1:34" x14ac:dyDescent="0.25">
      <c r="A126" s="57" t="s">
        <v>17</v>
      </c>
      <c r="B126" s="67">
        <v>48716</v>
      </c>
      <c r="C126" s="58"/>
      <c r="D126" s="58"/>
      <c r="E126" s="58">
        <f t="shared" si="23"/>
        <v>48716</v>
      </c>
      <c r="F126" s="138">
        <f t="shared" si="22"/>
        <v>48716</v>
      </c>
      <c r="G126" s="138">
        <v>0</v>
      </c>
      <c r="H126" s="138">
        <v>0</v>
      </c>
      <c r="I126" s="138">
        <v>0</v>
      </c>
      <c r="J126" s="138">
        <v>0</v>
      </c>
      <c r="K126" s="138">
        <v>0</v>
      </c>
      <c r="L126" s="138">
        <v>0</v>
      </c>
      <c r="M126" s="138">
        <v>0</v>
      </c>
      <c r="N126" s="138">
        <v>0</v>
      </c>
      <c r="O126" s="138">
        <v>0</v>
      </c>
      <c r="P126" s="138">
        <v>27981</v>
      </c>
      <c r="Q126" s="138">
        <v>20735</v>
      </c>
      <c r="R126" s="138">
        <v>0</v>
      </c>
      <c r="S126" s="137"/>
    </row>
    <row r="127" spans="1:34" x14ac:dyDescent="0.25">
      <c r="A127" s="57" t="s">
        <v>18</v>
      </c>
      <c r="B127" s="67">
        <v>0</v>
      </c>
      <c r="C127" s="58"/>
      <c r="D127" s="58"/>
      <c r="E127" s="58">
        <f t="shared" si="23"/>
        <v>0</v>
      </c>
      <c r="F127" s="138">
        <f t="shared" si="22"/>
        <v>0</v>
      </c>
      <c r="G127" s="138">
        <v>0</v>
      </c>
      <c r="H127" s="138">
        <v>0</v>
      </c>
      <c r="I127" s="138">
        <v>0</v>
      </c>
      <c r="J127" s="138">
        <v>0</v>
      </c>
      <c r="K127" s="138">
        <v>0</v>
      </c>
      <c r="L127" s="138">
        <v>0</v>
      </c>
      <c r="M127" s="138">
        <v>0</v>
      </c>
      <c r="N127" s="138">
        <v>0</v>
      </c>
      <c r="O127" s="138">
        <v>0</v>
      </c>
      <c r="P127" s="138">
        <v>0</v>
      </c>
      <c r="Q127" s="138">
        <v>0</v>
      </c>
      <c r="R127" s="138">
        <v>0</v>
      </c>
      <c r="S127" s="137"/>
    </row>
    <row r="128" spans="1:34" x14ac:dyDescent="0.25">
      <c r="A128" s="57" t="s">
        <v>6</v>
      </c>
      <c r="B128" s="67">
        <v>675</v>
      </c>
      <c r="C128" s="58"/>
      <c r="D128" s="58"/>
      <c r="E128" s="58">
        <f t="shared" si="23"/>
        <v>675</v>
      </c>
      <c r="F128" s="138">
        <f t="shared" si="22"/>
        <v>675</v>
      </c>
      <c r="G128" s="138">
        <v>0</v>
      </c>
      <c r="H128" s="138">
        <v>0</v>
      </c>
      <c r="I128" s="138">
        <v>0</v>
      </c>
      <c r="J128" s="138">
        <v>0</v>
      </c>
      <c r="K128" s="138">
        <v>455</v>
      </c>
      <c r="L128" s="138">
        <v>0</v>
      </c>
      <c r="M128" s="138">
        <v>220</v>
      </c>
      <c r="N128" s="138">
        <v>0</v>
      </c>
      <c r="O128" s="138">
        <v>0</v>
      </c>
      <c r="P128" s="138">
        <v>0</v>
      </c>
      <c r="Q128" s="138">
        <v>0</v>
      </c>
      <c r="R128" s="138">
        <v>0</v>
      </c>
      <c r="S128" s="137"/>
    </row>
    <row r="129" spans="1:19" x14ac:dyDescent="0.25">
      <c r="A129" s="57" t="s">
        <v>19</v>
      </c>
      <c r="B129" s="67">
        <v>45855</v>
      </c>
      <c r="C129" s="58"/>
      <c r="D129" s="58"/>
      <c r="E129" s="58">
        <f t="shared" si="23"/>
        <v>45855</v>
      </c>
      <c r="F129" s="138">
        <f t="shared" si="22"/>
        <v>45855</v>
      </c>
      <c r="G129" s="138">
        <v>0</v>
      </c>
      <c r="H129" s="138">
        <v>0</v>
      </c>
      <c r="I129" s="138">
        <v>0</v>
      </c>
      <c r="J129" s="138">
        <v>0</v>
      </c>
      <c r="K129" s="138">
        <v>0</v>
      </c>
      <c r="L129" s="138">
        <v>0</v>
      </c>
      <c r="M129" s="138">
        <v>0</v>
      </c>
      <c r="N129" s="138">
        <v>0</v>
      </c>
      <c r="O129" s="138">
        <v>0</v>
      </c>
      <c r="P129" s="138">
        <v>15982</v>
      </c>
      <c r="Q129" s="138">
        <v>29873</v>
      </c>
      <c r="R129" s="138">
        <v>0</v>
      </c>
      <c r="S129" s="137"/>
    </row>
    <row r="130" spans="1:19" x14ac:dyDescent="0.25">
      <c r="A130" s="57" t="s">
        <v>20</v>
      </c>
      <c r="B130" s="67">
        <v>4987</v>
      </c>
      <c r="C130" s="58"/>
      <c r="D130" s="58"/>
      <c r="E130" s="58">
        <f t="shared" si="23"/>
        <v>4987</v>
      </c>
      <c r="F130" s="138">
        <f t="shared" si="22"/>
        <v>4987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  <c r="M130" s="138">
        <v>0</v>
      </c>
      <c r="N130" s="138">
        <v>0</v>
      </c>
      <c r="O130" s="138">
        <v>0</v>
      </c>
      <c r="P130" s="138">
        <v>4987</v>
      </c>
      <c r="Q130" s="138">
        <v>0</v>
      </c>
      <c r="R130" s="138">
        <v>0</v>
      </c>
      <c r="S130" s="137"/>
    </row>
    <row r="131" spans="1:19" x14ac:dyDescent="0.25">
      <c r="A131" s="57" t="s">
        <v>21</v>
      </c>
      <c r="B131" s="67">
        <v>41674</v>
      </c>
      <c r="C131" s="58"/>
      <c r="D131" s="58"/>
      <c r="E131" s="58">
        <f t="shared" si="23"/>
        <v>41674</v>
      </c>
      <c r="F131" s="138">
        <f t="shared" si="22"/>
        <v>41674</v>
      </c>
      <c r="G131" s="138">
        <v>0</v>
      </c>
      <c r="H131" s="138">
        <v>0</v>
      </c>
      <c r="I131" s="138">
        <v>0</v>
      </c>
      <c r="J131" s="138">
        <v>0</v>
      </c>
      <c r="K131" s="138">
        <v>0</v>
      </c>
      <c r="L131" s="138">
        <v>0</v>
      </c>
      <c r="M131" s="138">
        <v>0</v>
      </c>
      <c r="N131" s="138">
        <v>0</v>
      </c>
      <c r="O131" s="138">
        <v>0</v>
      </c>
      <c r="P131" s="138">
        <v>15893</v>
      </c>
      <c r="Q131" s="138">
        <v>25781</v>
      </c>
      <c r="R131" s="138">
        <v>0</v>
      </c>
      <c r="S131" s="137"/>
    </row>
    <row r="132" spans="1:19" x14ac:dyDescent="0.25">
      <c r="A132" s="57" t="s">
        <v>22</v>
      </c>
      <c r="B132" s="67">
        <v>3420</v>
      </c>
      <c r="C132" s="58"/>
      <c r="D132" s="58"/>
      <c r="E132" s="58">
        <f t="shared" si="23"/>
        <v>3420</v>
      </c>
      <c r="F132" s="138">
        <f t="shared" si="22"/>
        <v>3420</v>
      </c>
      <c r="G132" s="138">
        <v>0</v>
      </c>
      <c r="H132" s="138">
        <v>0</v>
      </c>
      <c r="I132" s="138">
        <v>0</v>
      </c>
      <c r="J132" s="138">
        <v>0</v>
      </c>
      <c r="K132" s="138">
        <v>0</v>
      </c>
      <c r="L132" s="138">
        <v>0</v>
      </c>
      <c r="M132" s="138">
        <v>0</v>
      </c>
      <c r="N132" s="138">
        <v>0</v>
      </c>
      <c r="O132" s="138">
        <v>0</v>
      </c>
      <c r="P132" s="138">
        <v>0</v>
      </c>
      <c r="Q132" s="138">
        <v>3420</v>
      </c>
      <c r="R132" s="138">
        <v>0</v>
      </c>
      <c r="S132" s="137"/>
    </row>
    <row r="133" spans="1:19" x14ac:dyDescent="0.25">
      <c r="A133" s="57" t="s">
        <v>23</v>
      </c>
      <c r="B133" s="67">
        <v>4934</v>
      </c>
      <c r="C133" s="58"/>
      <c r="D133" s="58"/>
      <c r="E133" s="58">
        <f t="shared" si="23"/>
        <v>4934</v>
      </c>
      <c r="F133" s="138">
        <f t="shared" si="22"/>
        <v>4934</v>
      </c>
      <c r="G133" s="138">
        <v>0</v>
      </c>
      <c r="H133" s="138">
        <v>0</v>
      </c>
      <c r="I133" s="138">
        <v>0</v>
      </c>
      <c r="J133" s="138">
        <v>0</v>
      </c>
      <c r="K133" s="138">
        <v>0</v>
      </c>
      <c r="L133" s="138">
        <v>0</v>
      </c>
      <c r="M133" s="138">
        <v>0</v>
      </c>
      <c r="N133" s="138">
        <v>0</v>
      </c>
      <c r="O133" s="138">
        <v>0</v>
      </c>
      <c r="P133" s="138">
        <v>0</v>
      </c>
      <c r="Q133" s="138">
        <v>4934</v>
      </c>
      <c r="R133" s="138">
        <v>0</v>
      </c>
      <c r="S133" s="137"/>
    </row>
    <row r="134" spans="1:19" x14ac:dyDescent="0.25">
      <c r="A134" s="62" t="s">
        <v>24</v>
      </c>
      <c r="B134" s="67">
        <v>4775</v>
      </c>
      <c r="C134" s="58"/>
      <c r="D134" s="58"/>
      <c r="E134" s="58">
        <f t="shared" si="23"/>
        <v>4775</v>
      </c>
      <c r="F134" s="138">
        <f t="shared" si="22"/>
        <v>4775</v>
      </c>
      <c r="G134" s="138">
        <v>0</v>
      </c>
      <c r="H134" s="138">
        <v>0</v>
      </c>
      <c r="I134" s="138">
        <v>0</v>
      </c>
      <c r="J134" s="138">
        <v>0</v>
      </c>
      <c r="K134" s="138">
        <v>0</v>
      </c>
      <c r="L134" s="138">
        <v>0</v>
      </c>
      <c r="M134" s="138">
        <v>0</v>
      </c>
      <c r="N134" s="138">
        <v>0</v>
      </c>
      <c r="O134" s="138">
        <v>0</v>
      </c>
      <c r="P134" s="138">
        <v>4775</v>
      </c>
      <c r="Q134" s="138">
        <v>0</v>
      </c>
      <c r="R134" s="138">
        <v>0</v>
      </c>
      <c r="S134" s="137"/>
    </row>
    <row r="135" spans="1:19" x14ac:dyDescent="0.25">
      <c r="A135" s="57" t="s">
        <v>25</v>
      </c>
      <c r="B135" s="67">
        <v>4274</v>
      </c>
      <c r="C135" s="58"/>
      <c r="D135" s="58"/>
      <c r="E135" s="58">
        <f t="shared" si="23"/>
        <v>4274</v>
      </c>
      <c r="F135" s="138">
        <f t="shared" si="22"/>
        <v>4274</v>
      </c>
      <c r="G135" s="138">
        <v>0</v>
      </c>
      <c r="H135" s="138">
        <v>0</v>
      </c>
      <c r="I135" s="138">
        <v>0</v>
      </c>
      <c r="J135" s="138">
        <v>0</v>
      </c>
      <c r="K135" s="138">
        <v>0</v>
      </c>
      <c r="L135" s="138">
        <v>0</v>
      </c>
      <c r="M135" s="138">
        <v>0</v>
      </c>
      <c r="N135" s="138">
        <v>0</v>
      </c>
      <c r="O135" s="138">
        <v>0</v>
      </c>
      <c r="P135" s="138">
        <v>0</v>
      </c>
      <c r="Q135" s="138">
        <v>4274</v>
      </c>
      <c r="R135" s="138">
        <v>0</v>
      </c>
      <c r="S135" s="137"/>
    </row>
    <row r="136" spans="1:19" x14ac:dyDescent="0.25">
      <c r="A136" s="57" t="s">
        <v>8</v>
      </c>
      <c r="B136" s="67">
        <v>12639</v>
      </c>
      <c r="C136" s="58"/>
      <c r="D136" s="58"/>
      <c r="E136" s="58">
        <f t="shared" si="23"/>
        <v>12639</v>
      </c>
      <c r="F136" s="138">
        <f t="shared" si="22"/>
        <v>12639</v>
      </c>
      <c r="G136" s="138">
        <v>0</v>
      </c>
      <c r="H136" s="138">
        <v>0</v>
      </c>
      <c r="I136" s="138">
        <v>0</v>
      </c>
      <c r="J136" s="138">
        <v>0</v>
      </c>
      <c r="K136" s="138">
        <v>0</v>
      </c>
      <c r="L136" s="138">
        <v>0</v>
      </c>
      <c r="M136" s="138">
        <v>0</v>
      </c>
      <c r="N136" s="138">
        <v>0</v>
      </c>
      <c r="O136" s="138">
        <v>0</v>
      </c>
      <c r="P136" s="138">
        <v>0</v>
      </c>
      <c r="Q136" s="138">
        <v>12639</v>
      </c>
      <c r="R136" s="138">
        <v>0</v>
      </c>
      <c r="S136" s="137"/>
    </row>
    <row r="137" spans="1:19" x14ac:dyDescent="0.25">
      <c r="A137" s="57" t="s">
        <v>9</v>
      </c>
      <c r="B137" s="67">
        <v>6175</v>
      </c>
      <c r="C137" s="58"/>
      <c r="D137" s="58"/>
      <c r="E137" s="58">
        <f t="shared" si="23"/>
        <v>6175</v>
      </c>
      <c r="F137" s="138">
        <f t="shared" si="22"/>
        <v>6175</v>
      </c>
      <c r="G137" s="138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0</v>
      </c>
      <c r="N137" s="138">
        <v>0</v>
      </c>
      <c r="O137" s="138">
        <v>0</v>
      </c>
      <c r="P137" s="138">
        <v>6175</v>
      </c>
      <c r="Q137" s="138">
        <v>0</v>
      </c>
      <c r="R137" s="138">
        <v>0</v>
      </c>
      <c r="S137" s="137"/>
    </row>
    <row r="138" spans="1:19" x14ac:dyDescent="0.25">
      <c r="A138" s="57" t="s">
        <v>10</v>
      </c>
      <c r="B138" s="67">
        <v>469655.72000000009</v>
      </c>
      <c r="C138" s="58"/>
      <c r="D138" s="58"/>
      <c r="E138" s="58">
        <f t="shared" si="23"/>
        <v>469655.72000000009</v>
      </c>
      <c r="F138" s="138">
        <f t="shared" si="22"/>
        <v>469655.72000000009</v>
      </c>
      <c r="G138" s="138">
        <v>0</v>
      </c>
      <c r="H138" s="138">
        <v>0</v>
      </c>
      <c r="I138" s="138">
        <v>0</v>
      </c>
      <c r="J138" s="138">
        <v>0</v>
      </c>
      <c r="K138" s="138">
        <v>23266.799999999999</v>
      </c>
      <c r="L138" s="138">
        <v>54708.4</v>
      </c>
      <c r="M138" s="138">
        <v>109416.8</v>
      </c>
      <c r="N138" s="138">
        <f>56718.4+2558.12</f>
        <v>59276.520000000004</v>
      </c>
      <c r="O138" s="138">
        <v>54708.4</v>
      </c>
      <c r="P138" s="138">
        <v>52698.400000000001</v>
      </c>
      <c r="Q138" s="138">
        <v>54708.4</v>
      </c>
      <c r="R138" s="138">
        <v>60872</v>
      </c>
      <c r="S138" s="137"/>
    </row>
    <row r="139" spans="1:19" x14ac:dyDescent="0.25">
      <c r="A139" s="57" t="s">
        <v>231</v>
      </c>
      <c r="B139" s="67">
        <v>3497</v>
      </c>
      <c r="C139" s="58"/>
      <c r="D139" s="58"/>
      <c r="E139" s="58">
        <f t="shared" ref="E139" si="24">+B139+C139+D139</f>
        <v>3497</v>
      </c>
      <c r="F139" s="138">
        <f t="shared" ref="F139" si="25">SUM(G139:R139)</f>
        <v>3497</v>
      </c>
      <c r="G139" s="138">
        <v>0</v>
      </c>
      <c r="H139" s="138">
        <v>0</v>
      </c>
      <c r="I139" s="138">
        <v>0</v>
      </c>
      <c r="J139" s="138">
        <v>0</v>
      </c>
      <c r="K139" s="138">
        <v>2523</v>
      </c>
      <c r="L139" s="138">
        <v>0</v>
      </c>
      <c r="M139" s="138">
        <v>974</v>
      </c>
      <c r="N139" s="138">
        <v>0</v>
      </c>
      <c r="O139" s="138">
        <v>0</v>
      </c>
      <c r="P139" s="138">
        <v>0</v>
      </c>
      <c r="Q139" s="138">
        <v>0</v>
      </c>
      <c r="R139" s="138">
        <v>0</v>
      </c>
      <c r="S139" s="137"/>
    </row>
    <row r="140" spans="1:19" x14ac:dyDescent="0.25">
      <c r="A140" s="57" t="s">
        <v>11</v>
      </c>
      <c r="B140" s="67">
        <v>42871</v>
      </c>
      <c r="C140" s="58"/>
      <c r="D140" s="58"/>
      <c r="E140" s="58">
        <f t="shared" si="23"/>
        <v>42871</v>
      </c>
      <c r="F140" s="138">
        <f t="shared" si="22"/>
        <v>42871</v>
      </c>
      <c r="G140" s="138">
        <v>0</v>
      </c>
      <c r="H140" s="138">
        <v>0</v>
      </c>
      <c r="I140" s="138">
        <v>0</v>
      </c>
      <c r="J140" s="138">
        <v>0</v>
      </c>
      <c r="K140" s="138">
        <v>0</v>
      </c>
      <c r="L140" s="138">
        <v>0</v>
      </c>
      <c r="M140" s="138">
        <v>0</v>
      </c>
      <c r="N140" s="138">
        <v>0</v>
      </c>
      <c r="O140" s="138">
        <v>0</v>
      </c>
      <c r="P140" s="138">
        <v>42871</v>
      </c>
      <c r="Q140" s="138">
        <v>0</v>
      </c>
      <c r="R140" s="138">
        <v>0</v>
      </c>
      <c r="S140" s="137"/>
    </row>
    <row r="141" spans="1:19" x14ac:dyDescent="0.25">
      <c r="A141" s="57" t="s">
        <v>26</v>
      </c>
      <c r="B141" s="67">
        <v>166</v>
      </c>
      <c r="C141" s="58"/>
      <c r="D141" s="58"/>
      <c r="E141" s="58">
        <f t="shared" si="23"/>
        <v>166</v>
      </c>
      <c r="F141" s="138">
        <f t="shared" si="22"/>
        <v>166</v>
      </c>
      <c r="G141" s="138">
        <v>0</v>
      </c>
      <c r="H141" s="138">
        <v>0</v>
      </c>
      <c r="I141" s="138">
        <v>0</v>
      </c>
      <c r="J141" s="138">
        <v>0</v>
      </c>
      <c r="K141" s="138">
        <v>0</v>
      </c>
      <c r="L141" s="138">
        <v>0</v>
      </c>
      <c r="M141" s="138">
        <v>0</v>
      </c>
      <c r="N141" s="138">
        <v>0</v>
      </c>
      <c r="O141" s="138">
        <v>0</v>
      </c>
      <c r="P141" s="138">
        <v>0</v>
      </c>
      <c r="Q141" s="138">
        <v>166</v>
      </c>
      <c r="R141" s="138">
        <v>0</v>
      </c>
      <c r="S141" s="137"/>
    </row>
    <row r="142" spans="1:19" x14ac:dyDescent="0.25">
      <c r="A142" s="57" t="s">
        <v>12</v>
      </c>
      <c r="B142" s="67">
        <v>4861</v>
      </c>
      <c r="C142" s="58"/>
      <c r="D142" s="58"/>
      <c r="E142" s="58">
        <f t="shared" si="23"/>
        <v>4861</v>
      </c>
      <c r="F142" s="138">
        <f t="shared" si="22"/>
        <v>4861</v>
      </c>
      <c r="G142" s="138">
        <v>0</v>
      </c>
      <c r="H142" s="138">
        <v>0</v>
      </c>
      <c r="I142" s="138">
        <v>0</v>
      </c>
      <c r="J142" s="138">
        <v>0</v>
      </c>
      <c r="K142" s="138">
        <v>0</v>
      </c>
      <c r="L142" s="138">
        <v>0</v>
      </c>
      <c r="M142" s="138">
        <v>0</v>
      </c>
      <c r="N142" s="138">
        <v>0</v>
      </c>
      <c r="O142" s="138">
        <v>0</v>
      </c>
      <c r="P142" s="138">
        <v>0</v>
      </c>
      <c r="Q142" s="138">
        <v>4861</v>
      </c>
      <c r="R142" s="138">
        <v>0</v>
      </c>
      <c r="S142" s="137"/>
    </row>
    <row r="143" spans="1:19" x14ac:dyDescent="0.25">
      <c r="A143" s="57" t="s">
        <v>13</v>
      </c>
      <c r="B143" s="67">
        <v>217</v>
      </c>
      <c r="C143" s="58"/>
      <c r="D143" s="58"/>
      <c r="E143" s="58">
        <f t="shared" si="23"/>
        <v>217</v>
      </c>
      <c r="F143" s="138">
        <f t="shared" si="22"/>
        <v>217</v>
      </c>
      <c r="G143" s="138">
        <v>0</v>
      </c>
      <c r="H143" s="138">
        <v>0</v>
      </c>
      <c r="I143" s="138">
        <v>0</v>
      </c>
      <c r="J143" s="138">
        <v>0</v>
      </c>
      <c r="K143" s="138">
        <v>0</v>
      </c>
      <c r="L143" s="138">
        <v>0</v>
      </c>
      <c r="M143" s="138">
        <v>0</v>
      </c>
      <c r="N143" s="138">
        <v>0</v>
      </c>
      <c r="O143" s="138">
        <v>0</v>
      </c>
      <c r="P143" s="138">
        <v>217</v>
      </c>
      <c r="Q143" s="138">
        <v>0</v>
      </c>
      <c r="R143" s="138">
        <v>0</v>
      </c>
      <c r="S143" s="137"/>
    </row>
    <row r="144" spans="1:19" x14ac:dyDescent="0.25">
      <c r="A144" s="57" t="s">
        <v>27</v>
      </c>
      <c r="B144" s="67">
        <v>39034</v>
      </c>
      <c r="C144" s="58"/>
      <c r="D144" s="58"/>
      <c r="E144" s="58">
        <f t="shared" si="23"/>
        <v>39034</v>
      </c>
      <c r="F144" s="138">
        <f t="shared" si="22"/>
        <v>39034</v>
      </c>
      <c r="G144" s="138">
        <v>0</v>
      </c>
      <c r="H144" s="138">
        <v>0</v>
      </c>
      <c r="I144" s="138">
        <v>0</v>
      </c>
      <c r="J144" s="138">
        <v>0</v>
      </c>
      <c r="K144" s="138">
        <v>0</v>
      </c>
      <c r="L144" s="138">
        <v>0</v>
      </c>
      <c r="M144" s="138">
        <v>0</v>
      </c>
      <c r="N144" s="138">
        <v>0</v>
      </c>
      <c r="O144" s="138">
        <v>12361</v>
      </c>
      <c r="P144" s="138">
        <v>217</v>
      </c>
      <c r="Q144" s="138">
        <v>26456</v>
      </c>
      <c r="R144" s="138">
        <v>0</v>
      </c>
      <c r="S144" s="137"/>
    </row>
    <row r="145" spans="1:19" x14ac:dyDescent="0.25">
      <c r="A145" s="57" t="s">
        <v>28</v>
      </c>
      <c r="B145" s="67">
        <v>93130.25</v>
      </c>
      <c r="C145" s="63"/>
      <c r="D145" s="58"/>
      <c r="E145" s="58">
        <f t="shared" si="23"/>
        <v>93130.25</v>
      </c>
      <c r="F145" s="138">
        <f t="shared" si="22"/>
        <v>93130.25</v>
      </c>
      <c r="G145" s="138">
        <v>0</v>
      </c>
      <c r="H145" s="138">
        <v>0</v>
      </c>
      <c r="I145" s="138">
        <v>0</v>
      </c>
      <c r="J145" s="138">
        <v>0</v>
      </c>
      <c r="K145" s="138">
        <v>28572.48</v>
      </c>
      <c r="L145" s="138">
        <v>0</v>
      </c>
      <c r="M145" s="138">
        <v>0</v>
      </c>
      <c r="N145" s="138">
        <v>2905.77</v>
      </c>
      <c r="O145" s="138">
        <v>12987</v>
      </c>
      <c r="P145" s="138">
        <v>28790</v>
      </c>
      <c r="Q145" s="138">
        <v>19875</v>
      </c>
      <c r="R145" s="138">
        <v>0</v>
      </c>
      <c r="S145" s="137"/>
    </row>
    <row r="146" spans="1:19" x14ac:dyDescent="0.25">
      <c r="A146" s="9"/>
      <c r="B146" s="40"/>
      <c r="C146" s="40"/>
      <c r="D146" s="40"/>
      <c r="E146" s="51"/>
      <c r="F146" s="138" t="s">
        <v>75</v>
      </c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7"/>
    </row>
    <row r="147" spans="1:19" ht="18.75" x14ac:dyDescent="0.4">
      <c r="A147" s="32" t="s">
        <v>111</v>
      </c>
      <c r="B147" s="40"/>
      <c r="C147" s="40"/>
      <c r="D147" s="40"/>
      <c r="E147" s="51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7"/>
    </row>
    <row r="148" spans="1:19" x14ac:dyDescent="0.25">
      <c r="A148" s="59"/>
      <c r="B148" s="58"/>
      <c r="C148" s="58"/>
      <c r="D148" s="58"/>
      <c r="E148" s="58">
        <f t="shared" ref="E148:E149" si="26">+B148+C148+D148</f>
        <v>0</v>
      </c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7"/>
    </row>
    <row r="149" spans="1:19" x14ac:dyDescent="0.25">
      <c r="A149" s="59"/>
      <c r="B149" s="58"/>
      <c r="C149" s="58"/>
      <c r="D149" s="58"/>
      <c r="E149" s="58">
        <f t="shared" si="26"/>
        <v>0</v>
      </c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7"/>
    </row>
    <row r="150" spans="1:19" ht="18.75" x14ac:dyDescent="0.4">
      <c r="A150" s="32" t="s">
        <v>112</v>
      </c>
      <c r="B150" s="40"/>
      <c r="C150" s="40"/>
      <c r="D150" s="40"/>
      <c r="E150" s="51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7"/>
    </row>
    <row r="151" spans="1:19" x14ac:dyDescent="0.25">
      <c r="A151" s="60" t="s">
        <v>266</v>
      </c>
      <c r="B151" s="58">
        <v>1876321.07</v>
      </c>
      <c r="C151" s="58"/>
      <c r="D151" s="58"/>
      <c r="E151" s="58">
        <f t="shared" ref="E151" si="27">+B151+C151+D151</f>
        <v>1876321.07</v>
      </c>
      <c r="F151" s="138">
        <f t="shared" ref="F151" si="28">SUM(G151:R151)</f>
        <v>1876321.0699999998</v>
      </c>
      <c r="G151" s="138">
        <v>0</v>
      </c>
      <c r="H151" s="138">
        <v>500000</v>
      </c>
      <c r="I151" s="138">
        <v>349664</v>
      </c>
      <c r="J151" s="138">
        <v>253317.7</v>
      </c>
      <c r="K151" s="138">
        <v>271614.69</v>
      </c>
      <c r="L151" s="138">
        <v>502958.68</v>
      </c>
      <c r="M151" s="138">
        <v>-1234</v>
      </c>
      <c r="N151" s="138">
        <v>0</v>
      </c>
      <c r="O151" s="138">
        <v>0</v>
      </c>
      <c r="P151" s="138">
        <v>0</v>
      </c>
      <c r="Q151" s="138">
        <v>0</v>
      </c>
      <c r="R151" s="138">
        <v>0</v>
      </c>
      <c r="S151" s="137"/>
    </row>
    <row r="152" spans="1:19" x14ac:dyDescent="0.25">
      <c r="A152" s="60" t="s">
        <v>121</v>
      </c>
      <c r="B152" s="61">
        <v>0</v>
      </c>
      <c r="C152" s="58"/>
      <c r="D152" s="58"/>
      <c r="E152" s="58">
        <f t="shared" ref="E152" si="29">+B152+C152+D152</f>
        <v>0</v>
      </c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7"/>
    </row>
    <row r="153" spans="1:19" ht="18.75" x14ac:dyDescent="0.4">
      <c r="A153" s="34" t="s">
        <v>113</v>
      </c>
      <c r="B153" s="40"/>
      <c r="C153" s="40"/>
      <c r="D153" s="40"/>
      <c r="E153" s="51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7"/>
    </row>
    <row r="154" spans="1:19" x14ac:dyDescent="0.25">
      <c r="A154" s="59"/>
      <c r="B154" s="58"/>
      <c r="C154" s="58"/>
      <c r="D154" s="58"/>
      <c r="E154" s="58">
        <f t="shared" ref="E154" si="30">+B154+C154+D154</f>
        <v>0</v>
      </c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7"/>
    </row>
    <row r="155" spans="1:19" x14ac:dyDescent="0.25">
      <c r="A155" s="9"/>
      <c r="B155" s="40"/>
      <c r="C155" s="40"/>
      <c r="D155" s="40"/>
      <c r="E155" s="51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7"/>
    </row>
    <row r="156" spans="1:19" x14ac:dyDescent="0.25">
      <c r="A156" s="9"/>
      <c r="B156" s="40"/>
      <c r="C156" s="40"/>
      <c r="D156" s="40"/>
      <c r="E156" s="51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7"/>
    </row>
    <row r="157" spans="1:19" ht="18.75" x14ac:dyDescent="0.4">
      <c r="A157" s="169" t="s">
        <v>29</v>
      </c>
      <c r="B157" s="169"/>
      <c r="C157" s="169"/>
      <c r="D157" s="169"/>
      <c r="E157" s="169"/>
      <c r="F157" s="150" t="s">
        <v>122</v>
      </c>
      <c r="G157" s="150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7"/>
    </row>
    <row r="158" spans="1:19" s="14" customFormat="1" ht="18.75" x14ac:dyDescent="0.4">
      <c r="A158" s="12"/>
      <c r="B158" s="42"/>
      <c r="C158" s="42"/>
      <c r="D158" s="42"/>
      <c r="E158" s="42"/>
      <c r="F158" s="151"/>
      <c r="G158" s="151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41"/>
    </row>
    <row r="159" spans="1:19" s="14" customFormat="1" ht="30" x14ac:dyDescent="0.25">
      <c r="A159" s="33" t="s">
        <v>105</v>
      </c>
      <c r="B159" s="38" t="s">
        <v>106</v>
      </c>
      <c r="C159" s="38" t="s">
        <v>107</v>
      </c>
      <c r="D159" s="38" t="s">
        <v>108</v>
      </c>
      <c r="E159" s="38" t="s">
        <v>109</v>
      </c>
      <c r="F159" s="151"/>
      <c r="G159" s="38" t="s">
        <v>192</v>
      </c>
      <c r="H159" s="38" t="s">
        <v>193</v>
      </c>
      <c r="I159" s="38" t="s">
        <v>194</v>
      </c>
      <c r="J159" s="38" t="s">
        <v>195</v>
      </c>
      <c r="K159" s="38" t="s">
        <v>196</v>
      </c>
      <c r="L159" s="38" t="s">
        <v>197</v>
      </c>
      <c r="M159" s="38" t="s">
        <v>198</v>
      </c>
      <c r="N159" s="38" t="s">
        <v>199</v>
      </c>
      <c r="O159" s="38" t="s">
        <v>200</v>
      </c>
      <c r="P159" s="38" t="s">
        <v>201</v>
      </c>
      <c r="Q159" s="38" t="s">
        <v>202</v>
      </c>
      <c r="R159" s="38" t="s">
        <v>203</v>
      </c>
      <c r="S159" s="141"/>
    </row>
    <row r="160" spans="1:19" s="14" customFormat="1" ht="18.75" x14ac:dyDescent="0.4">
      <c r="A160" s="32" t="s">
        <v>110</v>
      </c>
      <c r="B160" s="37">
        <f>SUM(B161:B226)</f>
        <v>3393362.1000000006</v>
      </c>
      <c r="C160" s="135">
        <f>SUM(C161:C226)</f>
        <v>16375336.24</v>
      </c>
      <c r="D160" s="37">
        <f>SUM(D161:D226)</f>
        <v>0</v>
      </c>
      <c r="E160" s="135">
        <f>SUM(E161:E226)</f>
        <v>19768698.340000007</v>
      </c>
      <c r="F160" s="151"/>
      <c r="G160" s="151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41"/>
    </row>
    <row r="161" spans="1:37" s="3" customFormat="1" ht="11.25" customHeight="1" x14ac:dyDescent="0.15">
      <c r="A161" s="59" t="s">
        <v>1</v>
      </c>
      <c r="B161" s="52">
        <v>0</v>
      </c>
      <c r="C161" s="58">
        <v>7865469.4000000004</v>
      </c>
      <c r="D161" s="58"/>
      <c r="E161" s="58">
        <f>+B161+C161+D161</f>
        <v>7865469.4000000004</v>
      </c>
      <c r="F161" s="138">
        <f t="shared" ref="F161:F203" si="31">SUM(G161:R161)</f>
        <v>7865469.4000000004</v>
      </c>
      <c r="G161" s="153">
        <v>579827.18999999994</v>
      </c>
      <c r="H161" s="138">
        <v>306986.19</v>
      </c>
      <c r="I161" s="138">
        <v>324101.40000000002</v>
      </c>
      <c r="J161" s="138">
        <v>667886.76</v>
      </c>
      <c r="K161" s="138">
        <v>721957.03</v>
      </c>
      <c r="L161" s="138">
        <v>792215.68</v>
      </c>
      <c r="M161" s="138">
        <v>733302.05</v>
      </c>
      <c r="N161" s="138">
        <v>1049009.29</v>
      </c>
      <c r="O161" s="138">
        <v>459014.23</v>
      </c>
      <c r="P161" s="138">
        <v>635532.99</v>
      </c>
      <c r="Q161" s="138">
        <v>668309.49</v>
      </c>
      <c r="R161" s="138">
        <v>927327.1</v>
      </c>
      <c r="S161" s="138"/>
      <c r="U161" s="4"/>
      <c r="W161" s="4"/>
      <c r="Y161" s="4"/>
      <c r="AA161" s="4"/>
      <c r="AC161" s="4"/>
      <c r="AE161" s="4"/>
      <c r="AG161" s="4"/>
    </row>
    <row r="162" spans="1:37" s="3" customFormat="1" ht="11.25" customHeight="1" x14ac:dyDescent="0.15">
      <c r="A162" s="59" t="s">
        <v>1</v>
      </c>
      <c r="B162" s="52">
        <v>0</v>
      </c>
      <c r="C162" s="58">
        <v>1056090.97</v>
      </c>
      <c r="D162" s="58"/>
      <c r="E162" s="58">
        <f t="shared" ref="E162:E168" si="32">+B162+C162+D162</f>
        <v>1056090.97</v>
      </c>
      <c r="F162" s="138">
        <f t="shared" ref="F162:F165" si="33">SUM(G162:R162)</f>
        <v>1056090.97</v>
      </c>
      <c r="G162" s="153">
        <v>91262.86</v>
      </c>
      <c r="H162" s="138">
        <v>81719.679999999993</v>
      </c>
      <c r="I162" s="138">
        <v>95830.62</v>
      </c>
      <c r="J162" s="138">
        <v>29693.9</v>
      </c>
      <c r="K162" s="138">
        <v>51686.87</v>
      </c>
      <c r="L162" s="138">
        <v>127504.73</v>
      </c>
      <c r="M162" s="138">
        <v>37456.1</v>
      </c>
      <c r="N162" s="138">
        <v>103612.92</v>
      </c>
      <c r="O162" s="138">
        <v>94058.09</v>
      </c>
      <c r="P162" s="138">
        <v>114451.82</v>
      </c>
      <c r="Q162" s="138">
        <v>130587.14</v>
      </c>
      <c r="R162" s="138">
        <v>98226.240000000005</v>
      </c>
      <c r="S162" s="138"/>
      <c r="U162" s="4"/>
      <c r="W162" s="4"/>
      <c r="Y162" s="4"/>
      <c r="AA162" s="4"/>
      <c r="AC162" s="4"/>
      <c r="AE162" s="4"/>
      <c r="AG162" s="4"/>
    </row>
    <row r="163" spans="1:37" s="3" customFormat="1" ht="11.25" customHeight="1" x14ac:dyDescent="0.15">
      <c r="A163" s="59" t="s">
        <v>1</v>
      </c>
      <c r="B163" s="52">
        <v>0</v>
      </c>
      <c r="C163" s="58">
        <v>5438.15</v>
      </c>
      <c r="D163" s="58"/>
      <c r="E163" s="58">
        <f t="shared" si="32"/>
        <v>5438.15</v>
      </c>
      <c r="F163" s="138">
        <f t="shared" si="33"/>
        <v>5438.15</v>
      </c>
      <c r="G163" s="153">
        <v>0</v>
      </c>
      <c r="H163" s="138">
        <v>0</v>
      </c>
      <c r="I163" s="138">
        <v>0</v>
      </c>
      <c r="J163" s="138">
        <v>2181.2199999999998</v>
      </c>
      <c r="K163" s="138">
        <v>3457.97</v>
      </c>
      <c r="L163" s="138">
        <v>-201.04</v>
      </c>
      <c r="M163" s="138">
        <v>0</v>
      </c>
      <c r="N163" s="138">
        <v>0</v>
      </c>
      <c r="O163" s="138">
        <v>0</v>
      </c>
      <c r="P163" s="138">
        <v>0</v>
      </c>
      <c r="Q163" s="138">
        <v>0</v>
      </c>
      <c r="R163" s="138">
        <v>0</v>
      </c>
      <c r="S163" s="138"/>
      <c r="U163" s="4"/>
      <c r="W163" s="4"/>
      <c r="Y163" s="4"/>
      <c r="AA163" s="4"/>
      <c r="AC163" s="4"/>
      <c r="AE163" s="4"/>
      <c r="AG163" s="4"/>
    </row>
    <row r="164" spans="1:37" s="3" customFormat="1" ht="11.25" customHeight="1" x14ac:dyDescent="0.15">
      <c r="A164" s="59" t="s">
        <v>1</v>
      </c>
      <c r="B164" s="52">
        <v>0</v>
      </c>
      <c r="C164" s="58">
        <v>22148.89</v>
      </c>
      <c r="D164" s="58"/>
      <c r="E164" s="58">
        <f t="shared" si="32"/>
        <v>22148.89</v>
      </c>
      <c r="F164" s="138">
        <f t="shared" si="33"/>
        <v>22148.89</v>
      </c>
      <c r="G164" s="153">
        <v>0</v>
      </c>
      <c r="H164" s="138">
        <v>0</v>
      </c>
      <c r="I164" s="138">
        <v>0</v>
      </c>
      <c r="J164" s="138">
        <v>0</v>
      </c>
      <c r="K164" s="138">
        <v>185.6</v>
      </c>
      <c r="L164" s="138">
        <v>2385.3200000000002</v>
      </c>
      <c r="M164" s="138">
        <v>5168.45</v>
      </c>
      <c r="N164" s="138">
        <v>15213.52</v>
      </c>
      <c r="O164" s="138">
        <v>-804</v>
      </c>
      <c r="P164" s="138">
        <v>0</v>
      </c>
      <c r="Q164" s="138">
        <v>0</v>
      </c>
      <c r="R164" s="138">
        <v>0</v>
      </c>
      <c r="S164" s="138"/>
      <c r="U164" s="4"/>
      <c r="W164" s="4"/>
      <c r="Y164" s="4"/>
      <c r="AA164" s="4"/>
      <c r="AC164" s="4"/>
      <c r="AE164" s="4"/>
      <c r="AG164" s="4"/>
    </row>
    <row r="165" spans="1:37" s="3" customFormat="1" ht="11.25" customHeight="1" x14ac:dyDescent="0.15">
      <c r="A165" s="59" t="s">
        <v>1</v>
      </c>
      <c r="B165" s="52">
        <v>226152.9</v>
      </c>
      <c r="C165" s="58"/>
      <c r="D165" s="58"/>
      <c r="E165" s="58">
        <f t="shared" si="32"/>
        <v>226152.9</v>
      </c>
      <c r="F165" s="138">
        <f t="shared" si="33"/>
        <v>226152.9</v>
      </c>
      <c r="G165" s="153">
        <v>1875</v>
      </c>
      <c r="H165" s="138">
        <v>24862</v>
      </c>
      <c r="I165" s="138">
        <v>-25135.74</v>
      </c>
      <c r="J165" s="138">
        <v>6517.67</v>
      </c>
      <c r="K165" s="138">
        <v>20165.75</v>
      </c>
      <c r="L165" s="138">
        <v>39414.230000000003</v>
      </c>
      <c r="M165" s="138">
        <v>35439.15</v>
      </c>
      <c r="N165" s="138">
        <v>95020.47</v>
      </c>
      <c r="O165" s="138">
        <v>27994.37</v>
      </c>
      <c r="P165" s="138">
        <v>0</v>
      </c>
      <c r="Q165" s="138">
        <v>0</v>
      </c>
      <c r="R165" s="138">
        <v>0</v>
      </c>
      <c r="S165" s="138"/>
      <c r="U165" s="4"/>
      <c r="W165" s="4"/>
      <c r="Y165" s="4"/>
      <c r="AA165" s="4"/>
      <c r="AC165" s="4"/>
      <c r="AE165" s="4"/>
      <c r="AG165" s="4"/>
    </row>
    <row r="166" spans="1:37" s="3" customFormat="1" ht="11.25" customHeight="1" x14ac:dyDescent="0.15">
      <c r="A166" s="59" t="s">
        <v>1</v>
      </c>
      <c r="B166" s="52">
        <v>0</v>
      </c>
      <c r="C166" s="58">
        <v>508202.60000000003</v>
      </c>
      <c r="D166" s="58"/>
      <c r="E166" s="58">
        <f t="shared" ref="E166:E167" si="34">+B166+C166+D166</f>
        <v>508202.60000000003</v>
      </c>
      <c r="F166" s="138">
        <f t="shared" ref="F166:F167" si="35">SUM(G166:R166)</f>
        <v>508202.60000000003</v>
      </c>
      <c r="G166" s="146">
        <v>0</v>
      </c>
      <c r="H166" s="142">
        <v>0</v>
      </c>
      <c r="I166" s="146">
        <v>0</v>
      </c>
      <c r="J166" s="146">
        <v>515</v>
      </c>
      <c r="K166" s="146">
        <v>131.22999999999999</v>
      </c>
      <c r="L166" s="146">
        <v>58980.97</v>
      </c>
      <c r="M166" s="146">
        <v>370608.27</v>
      </c>
      <c r="N166" s="146">
        <v>87104.67</v>
      </c>
      <c r="O166" s="146">
        <v>-9137.5400000000009</v>
      </c>
      <c r="P166" s="146">
        <v>0</v>
      </c>
      <c r="Q166" s="146">
        <v>0</v>
      </c>
      <c r="R166" s="146">
        <v>0</v>
      </c>
      <c r="S166" s="138"/>
      <c r="U166" s="4"/>
      <c r="W166" s="4"/>
      <c r="Y166" s="4"/>
      <c r="AA166" s="4"/>
      <c r="AC166" s="4"/>
      <c r="AE166" s="4"/>
      <c r="AG166" s="4"/>
    </row>
    <row r="167" spans="1:37" s="3" customFormat="1" ht="11.25" customHeight="1" x14ac:dyDescent="0.15">
      <c r="A167" s="59" t="s">
        <v>1</v>
      </c>
      <c r="B167" s="52">
        <v>0</v>
      </c>
      <c r="C167" s="58">
        <v>47955.64</v>
      </c>
      <c r="D167" s="58"/>
      <c r="E167" s="58">
        <f t="shared" si="34"/>
        <v>47955.64</v>
      </c>
      <c r="F167" s="138">
        <f t="shared" si="35"/>
        <v>47955.64</v>
      </c>
      <c r="G167" s="146">
        <v>0</v>
      </c>
      <c r="H167" s="142">
        <v>0</v>
      </c>
      <c r="I167" s="146">
        <v>0</v>
      </c>
      <c r="J167" s="146">
        <v>3444</v>
      </c>
      <c r="K167" s="146">
        <v>0</v>
      </c>
      <c r="L167" s="146">
        <v>11061.87</v>
      </c>
      <c r="M167" s="146">
        <v>14071.95</v>
      </c>
      <c r="N167" s="146">
        <v>38312.32</v>
      </c>
      <c r="O167" s="146">
        <v>-18934.5</v>
      </c>
      <c r="P167" s="146">
        <v>0</v>
      </c>
      <c r="Q167" s="146">
        <v>0</v>
      </c>
      <c r="R167" s="146">
        <v>0</v>
      </c>
      <c r="S167" s="138"/>
      <c r="U167" s="4"/>
      <c r="W167" s="4"/>
      <c r="Y167" s="4"/>
      <c r="AA167" s="4"/>
      <c r="AC167" s="4"/>
      <c r="AE167" s="4"/>
      <c r="AG167" s="4"/>
    </row>
    <row r="168" spans="1:37" s="3" customFormat="1" ht="11.25" customHeight="1" x14ac:dyDescent="0.15">
      <c r="A168" s="59" t="s">
        <v>2</v>
      </c>
      <c r="B168" s="52">
        <v>0</v>
      </c>
      <c r="C168" s="52">
        <v>508202.6</v>
      </c>
      <c r="D168" s="58"/>
      <c r="E168" s="58">
        <f t="shared" si="32"/>
        <v>508202.6</v>
      </c>
      <c r="F168" s="138">
        <f>SUM(G166:R166)</f>
        <v>508202.60000000003</v>
      </c>
      <c r="G168" s="146">
        <v>0</v>
      </c>
      <c r="H168" s="146">
        <v>0</v>
      </c>
      <c r="I168" s="146">
        <v>0</v>
      </c>
      <c r="J168" s="146">
        <v>19631.84</v>
      </c>
      <c r="K168" s="146">
        <v>6960</v>
      </c>
      <c r="L168" s="146">
        <v>12991.2</v>
      </c>
      <c r="M168" s="146">
        <v>1229.5999999999999</v>
      </c>
      <c r="N168" s="146">
        <v>4640</v>
      </c>
      <c r="O168" s="146">
        <v>0</v>
      </c>
      <c r="P168" s="146">
        <v>0</v>
      </c>
      <c r="Q168" s="146">
        <v>0</v>
      </c>
      <c r="R168" s="146">
        <v>0</v>
      </c>
      <c r="S168" s="138"/>
      <c r="T168" s="7"/>
      <c r="U168" s="8"/>
      <c r="V168" s="7"/>
      <c r="W168" s="8"/>
      <c r="X168" s="7"/>
      <c r="Y168" s="8"/>
      <c r="Z168" s="7"/>
      <c r="AA168" s="8"/>
      <c r="AB168" s="7"/>
      <c r="AC168" s="8"/>
      <c r="AD168" s="7"/>
      <c r="AE168" s="8"/>
      <c r="AF168" s="7"/>
      <c r="AG168" s="8"/>
      <c r="AH168" s="7"/>
    </row>
    <row r="169" spans="1:37" s="3" customFormat="1" ht="11.25" customHeight="1" x14ac:dyDescent="0.15">
      <c r="A169" s="59" t="s">
        <v>4</v>
      </c>
      <c r="B169" s="67">
        <v>47955.64</v>
      </c>
      <c r="C169" s="58"/>
      <c r="D169" s="58"/>
      <c r="E169" s="58">
        <f t="shared" ref="E169:E203" si="36">+B169+C169+D169</f>
        <v>47955.64</v>
      </c>
      <c r="F169" s="138">
        <f>SUM(G167:R167)</f>
        <v>47955.64</v>
      </c>
      <c r="G169" s="146">
        <v>0</v>
      </c>
      <c r="H169" s="146">
        <v>0</v>
      </c>
      <c r="I169" s="146">
        <v>0</v>
      </c>
      <c r="J169" s="146">
        <v>0</v>
      </c>
      <c r="K169" s="146">
        <v>0</v>
      </c>
      <c r="L169" s="146">
        <v>0</v>
      </c>
      <c r="M169" s="146">
        <v>0</v>
      </c>
      <c r="N169" s="146">
        <v>0</v>
      </c>
      <c r="O169" s="146">
        <v>0</v>
      </c>
      <c r="P169" s="146">
        <v>0</v>
      </c>
      <c r="Q169" s="146">
        <v>0</v>
      </c>
      <c r="R169" s="146">
        <v>0</v>
      </c>
      <c r="S169" s="138"/>
      <c r="T169" s="7"/>
      <c r="U169" s="8"/>
      <c r="V169" s="7"/>
      <c r="W169" s="8"/>
      <c r="X169" s="7"/>
      <c r="Y169" s="8"/>
      <c r="Z169" s="7"/>
      <c r="AA169" s="8"/>
      <c r="AB169" s="7"/>
      <c r="AC169" s="8"/>
      <c r="AD169" s="7"/>
      <c r="AE169" s="8"/>
      <c r="AF169" s="7"/>
      <c r="AG169" s="8"/>
      <c r="AH169" s="7"/>
    </row>
    <row r="170" spans="1:37" s="3" customFormat="1" ht="11.25" customHeight="1" x14ac:dyDescent="0.15">
      <c r="A170" s="87" t="s">
        <v>166</v>
      </c>
      <c r="B170" s="58">
        <v>31120</v>
      </c>
      <c r="C170" s="68"/>
      <c r="D170" s="50"/>
      <c r="E170" s="58">
        <f t="shared" si="36"/>
        <v>31120</v>
      </c>
      <c r="F170" s="138">
        <f t="shared" si="31"/>
        <v>31120</v>
      </c>
      <c r="G170" s="146">
        <v>0</v>
      </c>
      <c r="H170" s="146">
        <v>6240</v>
      </c>
      <c r="I170" s="146">
        <v>24880</v>
      </c>
      <c r="J170" s="146">
        <v>0</v>
      </c>
      <c r="K170" s="146">
        <v>0</v>
      </c>
      <c r="L170" s="146">
        <v>0</v>
      </c>
      <c r="M170" s="146">
        <v>0</v>
      </c>
      <c r="N170" s="146">
        <v>0</v>
      </c>
      <c r="O170" s="146">
        <v>0</v>
      </c>
      <c r="P170" s="146">
        <v>0</v>
      </c>
      <c r="Q170" s="146">
        <v>0</v>
      </c>
      <c r="R170" s="146">
        <v>0</v>
      </c>
      <c r="S170" s="138"/>
      <c r="T170" s="7"/>
      <c r="U170" s="8"/>
      <c r="V170" s="7"/>
      <c r="W170" s="8"/>
      <c r="X170" s="7"/>
      <c r="Y170" s="8"/>
      <c r="Z170" s="7"/>
      <c r="AA170" s="8"/>
      <c r="AB170" s="7"/>
      <c r="AC170" s="8"/>
      <c r="AD170" s="7"/>
      <c r="AE170" s="8"/>
      <c r="AF170" s="7"/>
      <c r="AG170" s="8"/>
      <c r="AH170" s="7"/>
      <c r="AK170" s="10"/>
    </row>
    <row r="171" spans="1:37" s="3" customFormat="1" ht="11.25" customHeight="1" x14ac:dyDescent="0.15">
      <c r="A171" s="59" t="s">
        <v>17</v>
      </c>
      <c r="B171" s="58">
        <v>303794.98</v>
      </c>
      <c r="C171" s="68">
        <v>332409</v>
      </c>
      <c r="D171" s="50"/>
      <c r="E171" s="58">
        <f t="shared" si="36"/>
        <v>636203.98</v>
      </c>
      <c r="F171" s="138">
        <f t="shared" si="31"/>
        <v>636203.98</v>
      </c>
      <c r="G171" s="146">
        <v>10020</v>
      </c>
      <c r="H171" s="146">
        <v>1098</v>
      </c>
      <c r="I171" s="146">
        <f>5515.75+5800+13585</f>
        <v>24900.75</v>
      </c>
      <c r="J171" s="146">
        <f>11015+2257.82+12547.42</f>
        <v>25820.239999999998</v>
      </c>
      <c r="K171" s="146">
        <f>36090+1541.47+44667.28</f>
        <v>82298.75</v>
      </c>
      <c r="L171" s="146">
        <f>24512.93+9572.32+6020.26+754+39407.29</f>
        <v>80266.8</v>
      </c>
      <c r="M171" s="146">
        <f>5999.13+64295.17</f>
        <v>70294.3</v>
      </c>
      <c r="N171" s="146">
        <f>2778.53+122222.28</f>
        <v>125000.81</v>
      </c>
      <c r="O171" s="146">
        <v>216504.33</v>
      </c>
      <c r="P171" s="146">
        <v>0</v>
      </c>
      <c r="Q171" s="146">
        <v>0</v>
      </c>
      <c r="R171" s="146">
        <v>0</v>
      </c>
      <c r="S171" s="138"/>
      <c r="T171" s="7"/>
      <c r="U171" s="8"/>
      <c r="V171" s="7"/>
      <c r="W171" s="8"/>
      <c r="X171" s="7"/>
      <c r="Y171" s="8"/>
      <c r="Z171" s="7"/>
      <c r="AA171" s="8"/>
      <c r="AB171" s="7"/>
      <c r="AC171" s="8"/>
      <c r="AD171" s="7"/>
      <c r="AE171" s="8"/>
      <c r="AF171" s="7"/>
      <c r="AG171" s="8"/>
      <c r="AH171" s="7"/>
      <c r="AK171" s="10"/>
    </row>
    <row r="172" spans="1:37" s="3" customFormat="1" ht="11.25" customHeight="1" x14ac:dyDescent="0.15">
      <c r="A172" s="60" t="s">
        <v>162</v>
      </c>
      <c r="B172" s="58">
        <v>0</v>
      </c>
      <c r="C172" s="93">
        <v>0</v>
      </c>
      <c r="D172" s="50">
        <v>0</v>
      </c>
      <c r="E172" s="58">
        <f t="shared" si="36"/>
        <v>0</v>
      </c>
      <c r="F172" s="138">
        <f t="shared" si="31"/>
        <v>0</v>
      </c>
      <c r="G172" s="146">
        <v>0</v>
      </c>
      <c r="H172" s="146">
        <v>0</v>
      </c>
      <c r="I172" s="146">
        <v>0</v>
      </c>
      <c r="J172" s="146">
        <v>0</v>
      </c>
      <c r="K172" s="146">
        <v>0</v>
      </c>
      <c r="L172" s="146">
        <v>0</v>
      </c>
      <c r="M172" s="146">
        <v>0</v>
      </c>
      <c r="N172" s="146">
        <v>0</v>
      </c>
      <c r="O172" s="146">
        <v>0</v>
      </c>
      <c r="P172" s="146">
        <v>0</v>
      </c>
      <c r="Q172" s="146">
        <v>0</v>
      </c>
      <c r="R172" s="146">
        <v>0</v>
      </c>
      <c r="S172" s="138"/>
      <c r="T172" s="7"/>
      <c r="U172" s="8"/>
      <c r="V172" s="7"/>
      <c r="W172" s="8"/>
      <c r="X172" s="7"/>
      <c r="Y172" s="8"/>
      <c r="Z172" s="7"/>
      <c r="AA172" s="8"/>
      <c r="AB172" s="7"/>
      <c r="AC172" s="8"/>
      <c r="AD172" s="7"/>
      <c r="AE172" s="8"/>
      <c r="AF172" s="7"/>
      <c r="AG172" s="8"/>
      <c r="AH172" s="7"/>
      <c r="AK172" s="10"/>
    </row>
    <row r="173" spans="1:37" x14ac:dyDescent="0.25">
      <c r="A173" s="59" t="s">
        <v>18</v>
      </c>
      <c r="B173" s="67">
        <v>0</v>
      </c>
      <c r="C173" s="58">
        <v>6691.76</v>
      </c>
      <c r="D173" s="58"/>
      <c r="E173" s="58">
        <f t="shared" si="36"/>
        <v>6691.76</v>
      </c>
      <c r="F173" s="138">
        <f t="shared" si="31"/>
        <v>6691.7599999999993</v>
      </c>
      <c r="G173" s="146">
        <v>0</v>
      </c>
      <c r="H173" s="146">
        <v>2874.23</v>
      </c>
      <c r="I173" s="146">
        <f>4271.21-3318</f>
        <v>953.21</v>
      </c>
      <c r="J173" s="146">
        <f>9284-7390.81</f>
        <v>1893.1899999999996</v>
      </c>
      <c r="K173" s="146">
        <v>971.13</v>
      </c>
      <c r="L173" s="146">
        <v>0</v>
      </c>
      <c r="M173" s="146">
        <v>0</v>
      </c>
      <c r="N173" s="146">
        <v>0</v>
      </c>
      <c r="O173" s="146">
        <v>0</v>
      </c>
      <c r="P173" s="146">
        <v>0</v>
      </c>
      <c r="Q173" s="146">
        <v>0</v>
      </c>
      <c r="R173" s="146">
        <v>0</v>
      </c>
      <c r="S173" s="138"/>
    </row>
    <row r="174" spans="1:37" x14ac:dyDescent="0.25">
      <c r="A174" s="59" t="s">
        <v>6</v>
      </c>
      <c r="B174" s="67">
        <v>106670.16</v>
      </c>
      <c r="C174" s="58">
        <v>45428</v>
      </c>
      <c r="D174" s="58"/>
      <c r="E174" s="58">
        <f t="shared" si="36"/>
        <v>152098.16</v>
      </c>
      <c r="F174" s="138">
        <f t="shared" si="31"/>
        <v>152098.16</v>
      </c>
      <c r="G174" s="146">
        <f>45991-2493.79-24393.49</f>
        <v>19103.719999999998</v>
      </c>
      <c r="H174" s="146">
        <v>3646</v>
      </c>
      <c r="I174" s="146">
        <v>21070.66</v>
      </c>
      <c r="J174" s="146">
        <v>1241</v>
      </c>
      <c r="K174" s="146">
        <v>20181</v>
      </c>
      <c r="L174" s="146">
        <v>3414</v>
      </c>
      <c r="M174" s="146">
        <v>31455.56</v>
      </c>
      <c r="N174" s="146">
        <f>9788.68+16141.08</f>
        <v>25929.760000000002</v>
      </c>
      <c r="O174" s="146">
        <v>26056.46</v>
      </c>
      <c r="P174" s="146">
        <v>0</v>
      </c>
      <c r="Q174" s="146">
        <v>0</v>
      </c>
      <c r="R174" s="146">
        <v>0</v>
      </c>
      <c r="S174" s="138"/>
    </row>
    <row r="175" spans="1:37" x14ac:dyDescent="0.25">
      <c r="A175" s="59" t="s">
        <v>30</v>
      </c>
      <c r="B175" s="67">
        <v>0</v>
      </c>
      <c r="C175" s="58">
        <v>32329.67</v>
      </c>
      <c r="D175" s="58"/>
      <c r="E175" s="58">
        <f t="shared" si="36"/>
        <v>32329.67</v>
      </c>
      <c r="F175" s="138">
        <f t="shared" si="31"/>
        <v>32329.67</v>
      </c>
      <c r="G175" s="146">
        <v>2355</v>
      </c>
      <c r="H175" s="146">
        <v>1767</v>
      </c>
      <c r="I175" s="146">
        <f>3227-2403</f>
        <v>824</v>
      </c>
      <c r="J175" s="146">
        <f>3673-2901.5</f>
        <v>771.5</v>
      </c>
      <c r="K175" s="146">
        <v>5412</v>
      </c>
      <c r="L175" s="146">
        <f>10559.91+3519.97</f>
        <v>14079.88</v>
      </c>
      <c r="M175" s="146">
        <v>658</v>
      </c>
      <c r="N175" s="146">
        <f>734+5020.3</f>
        <v>5754.3</v>
      </c>
      <c r="O175" s="146">
        <v>707.99</v>
      </c>
      <c r="P175" s="146">
        <v>0</v>
      </c>
      <c r="Q175" s="146">
        <v>0</v>
      </c>
      <c r="R175" s="146">
        <v>0</v>
      </c>
      <c r="S175" s="138"/>
    </row>
    <row r="176" spans="1:37" x14ac:dyDescent="0.25">
      <c r="A176" s="59" t="s">
        <v>262</v>
      </c>
      <c r="B176" s="67">
        <v>5615.79</v>
      </c>
      <c r="C176" s="58"/>
      <c r="D176" s="58"/>
      <c r="E176" s="58">
        <f t="shared" ref="E176" si="37">+B176+C176+D176</f>
        <v>5615.79</v>
      </c>
      <c r="F176" s="138">
        <f t="shared" ref="F176" si="38">SUM(G176:R176)</f>
        <v>5615.79</v>
      </c>
      <c r="G176" s="146">
        <v>0</v>
      </c>
      <c r="H176" s="146">
        <v>0</v>
      </c>
      <c r="I176" s="146">
        <v>0</v>
      </c>
      <c r="J176" s="146">
        <v>0</v>
      </c>
      <c r="K176" s="146">
        <v>559.01</v>
      </c>
      <c r="L176" s="146">
        <v>1986.94</v>
      </c>
      <c r="M176" s="146">
        <v>1360</v>
      </c>
      <c r="N176" s="146">
        <v>1709.84</v>
      </c>
      <c r="O176" s="146">
        <v>0</v>
      </c>
      <c r="P176" s="146">
        <v>0</v>
      </c>
      <c r="Q176" s="146">
        <v>0</v>
      </c>
      <c r="R176" s="146">
        <v>0</v>
      </c>
      <c r="S176" s="138"/>
    </row>
    <row r="177" spans="1:19" x14ac:dyDescent="0.25">
      <c r="A177" s="59" t="s">
        <v>20</v>
      </c>
      <c r="B177" s="67">
        <v>138.97999999999956</v>
      </c>
      <c r="C177" s="58">
        <v>3355</v>
      </c>
      <c r="D177" s="58"/>
      <c r="E177" s="58">
        <f t="shared" si="36"/>
        <v>3493.9799999999996</v>
      </c>
      <c r="F177" s="138">
        <f t="shared" si="31"/>
        <v>3493.9799999999996</v>
      </c>
      <c r="G177" s="146">
        <v>0</v>
      </c>
      <c r="H177" s="146">
        <f>1567.08-404.56</f>
        <v>1162.52</v>
      </c>
      <c r="I177" s="146">
        <f>1567.08-1131.52</f>
        <v>435.55999999999995</v>
      </c>
      <c r="J177" s="146">
        <v>0</v>
      </c>
      <c r="K177" s="146">
        <v>0</v>
      </c>
      <c r="L177" s="146">
        <v>0</v>
      </c>
      <c r="M177" s="146">
        <v>142.68</v>
      </c>
      <c r="N177" s="146">
        <v>1229.5999999999999</v>
      </c>
      <c r="O177" s="146">
        <v>523.62</v>
      </c>
      <c r="P177" s="146">
        <v>0</v>
      </c>
      <c r="Q177" s="146">
        <v>0</v>
      </c>
      <c r="R177" s="146">
        <v>0</v>
      </c>
      <c r="S177" s="138"/>
    </row>
    <row r="178" spans="1:19" x14ac:dyDescent="0.25">
      <c r="A178" s="59" t="s">
        <v>75</v>
      </c>
      <c r="B178" s="67">
        <v>0</v>
      </c>
      <c r="C178" s="58"/>
      <c r="D178" s="58"/>
      <c r="E178" s="58">
        <f t="shared" si="36"/>
        <v>0</v>
      </c>
      <c r="F178" s="138">
        <f t="shared" si="31"/>
        <v>0</v>
      </c>
      <c r="G178" s="146">
        <v>0</v>
      </c>
      <c r="H178" s="146">
        <v>0</v>
      </c>
      <c r="I178" s="146">
        <v>0</v>
      </c>
      <c r="J178" s="146">
        <v>0</v>
      </c>
      <c r="K178" s="146">
        <v>0</v>
      </c>
      <c r="L178" s="146">
        <v>0</v>
      </c>
      <c r="M178" s="146">
        <v>0</v>
      </c>
      <c r="N178" s="146">
        <v>0</v>
      </c>
      <c r="O178" s="146">
        <v>0</v>
      </c>
      <c r="P178" s="146">
        <v>0</v>
      </c>
      <c r="Q178" s="146">
        <v>0</v>
      </c>
      <c r="R178" s="146">
        <v>0</v>
      </c>
      <c r="S178" s="138"/>
    </row>
    <row r="179" spans="1:19" x14ac:dyDescent="0.25">
      <c r="A179" s="59" t="s">
        <v>21</v>
      </c>
      <c r="B179" s="67">
        <v>0</v>
      </c>
      <c r="C179" s="67">
        <v>120</v>
      </c>
      <c r="D179" s="58"/>
      <c r="E179" s="58">
        <f t="shared" si="36"/>
        <v>120</v>
      </c>
      <c r="F179" s="138">
        <f t="shared" si="31"/>
        <v>120</v>
      </c>
      <c r="G179" s="146">
        <v>0</v>
      </c>
      <c r="H179" s="146">
        <v>0</v>
      </c>
      <c r="I179" s="146">
        <v>0</v>
      </c>
      <c r="J179" s="146">
        <v>0</v>
      </c>
      <c r="K179" s="146">
        <v>0</v>
      </c>
      <c r="L179" s="146">
        <v>0</v>
      </c>
      <c r="M179" s="146">
        <v>0</v>
      </c>
      <c r="N179" s="146">
        <v>120</v>
      </c>
      <c r="O179" s="146">
        <v>0</v>
      </c>
      <c r="P179" s="146">
        <v>0</v>
      </c>
      <c r="Q179" s="146">
        <v>0</v>
      </c>
      <c r="R179" s="146">
        <v>0</v>
      </c>
      <c r="S179" s="138"/>
    </row>
    <row r="180" spans="1:19" x14ac:dyDescent="0.25">
      <c r="A180" s="117" t="s">
        <v>169</v>
      </c>
      <c r="B180" s="166">
        <v>0</v>
      </c>
      <c r="C180" s="166">
        <v>67074.31</v>
      </c>
      <c r="D180" s="58"/>
      <c r="E180" s="58">
        <f t="shared" si="36"/>
        <v>67074.31</v>
      </c>
      <c r="F180" s="138">
        <f t="shared" si="31"/>
        <v>67074.31</v>
      </c>
      <c r="G180" s="146">
        <v>0</v>
      </c>
      <c r="H180" s="146">
        <v>3835</v>
      </c>
      <c r="I180" s="146">
        <v>0</v>
      </c>
      <c r="J180" s="146">
        <v>8705</v>
      </c>
      <c r="K180" s="146">
        <v>9240</v>
      </c>
      <c r="L180" s="146">
        <v>8921.01</v>
      </c>
      <c r="M180" s="146">
        <v>17835.5</v>
      </c>
      <c r="N180" s="146">
        <v>8540</v>
      </c>
      <c r="O180" s="146">
        <v>9997.7999999999993</v>
      </c>
      <c r="P180" s="146">
        <v>0</v>
      </c>
      <c r="Q180" s="146">
        <v>0</v>
      </c>
      <c r="R180" s="146">
        <v>0</v>
      </c>
      <c r="S180" s="138"/>
    </row>
    <row r="181" spans="1:19" x14ac:dyDescent="0.25">
      <c r="A181" s="59" t="s">
        <v>23</v>
      </c>
      <c r="B181" s="67">
        <v>0</v>
      </c>
      <c r="C181" s="58"/>
      <c r="D181" s="58"/>
      <c r="E181" s="58">
        <f t="shared" si="36"/>
        <v>0</v>
      </c>
      <c r="F181" s="138">
        <f t="shared" si="31"/>
        <v>0</v>
      </c>
      <c r="G181" s="146">
        <v>0</v>
      </c>
      <c r="H181" s="146">
        <v>0</v>
      </c>
      <c r="I181" s="146">
        <v>0</v>
      </c>
      <c r="J181" s="146">
        <v>0</v>
      </c>
      <c r="K181" s="146">
        <v>0</v>
      </c>
      <c r="L181" s="146">
        <v>0</v>
      </c>
      <c r="M181" s="146">
        <v>0</v>
      </c>
      <c r="N181" s="146">
        <v>0</v>
      </c>
      <c r="O181" s="146">
        <v>0</v>
      </c>
      <c r="P181" s="146">
        <v>0</v>
      </c>
      <c r="Q181" s="146">
        <v>0</v>
      </c>
      <c r="R181" s="146">
        <v>0</v>
      </c>
      <c r="S181" s="138"/>
    </row>
    <row r="182" spans="1:19" x14ac:dyDescent="0.25">
      <c r="A182" s="59" t="s">
        <v>31</v>
      </c>
      <c r="B182" s="67">
        <v>37694.799999999996</v>
      </c>
      <c r="C182" s="58">
        <v>1411</v>
      </c>
      <c r="D182" s="58"/>
      <c r="E182" s="58">
        <f t="shared" si="36"/>
        <v>39105.799999999996</v>
      </c>
      <c r="F182" s="138">
        <f t="shared" si="31"/>
        <v>39105.799999999996</v>
      </c>
      <c r="G182" s="146">
        <v>0</v>
      </c>
      <c r="H182" s="146">
        <v>14285.63</v>
      </c>
      <c r="I182" s="146">
        <v>0</v>
      </c>
      <c r="J182" s="146">
        <v>0</v>
      </c>
      <c r="K182" s="146">
        <v>9356.56</v>
      </c>
      <c r="L182" s="146">
        <f>1309.06+769.31</f>
        <v>2078.37</v>
      </c>
      <c r="M182" s="146">
        <v>3201.94</v>
      </c>
      <c r="N182" s="146">
        <v>332</v>
      </c>
      <c r="O182" s="146">
        <v>9851.2999999999993</v>
      </c>
      <c r="P182" s="146">
        <v>0</v>
      </c>
      <c r="Q182" s="146">
        <v>0</v>
      </c>
      <c r="R182" s="146">
        <v>0</v>
      </c>
      <c r="S182" s="138"/>
    </row>
    <row r="183" spans="1:19" x14ac:dyDescent="0.25">
      <c r="A183" s="59" t="s">
        <v>260</v>
      </c>
      <c r="B183" s="67">
        <v>650.78</v>
      </c>
      <c r="C183" s="58"/>
      <c r="D183" s="58"/>
      <c r="E183" s="58">
        <f t="shared" ref="E183" si="39">+B183+C183+D183</f>
        <v>650.78</v>
      </c>
      <c r="F183" s="138">
        <f t="shared" ref="F183" si="40">SUM(G183:R183)</f>
        <v>650.78</v>
      </c>
      <c r="G183" s="146">
        <v>0</v>
      </c>
      <c r="H183" s="146">
        <v>0</v>
      </c>
      <c r="I183" s="146">
        <v>0</v>
      </c>
      <c r="J183" s="146">
        <v>0</v>
      </c>
      <c r="K183" s="146">
        <v>0</v>
      </c>
      <c r="L183" s="146">
        <v>0</v>
      </c>
      <c r="M183" s="146">
        <v>0</v>
      </c>
      <c r="N183" s="146">
        <v>0</v>
      </c>
      <c r="O183" s="146">
        <v>650.78</v>
      </c>
      <c r="P183" s="146">
        <v>0</v>
      </c>
      <c r="Q183" s="146">
        <v>0</v>
      </c>
      <c r="R183" s="146">
        <v>0</v>
      </c>
      <c r="S183" s="138"/>
    </row>
    <row r="184" spans="1:19" x14ac:dyDescent="0.25">
      <c r="A184" s="59" t="s">
        <v>32</v>
      </c>
      <c r="B184" s="67">
        <v>110077.35999999999</v>
      </c>
      <c r="C184" s="58">
        <v>20289</v>
      </c>
      <c r="D184" s="58"/>
      <c r="E184" s="58">
        <f t="shared" si="36"/>
        <v>130366.35999999999</v>
      </c>
      <c r="F184" s="138">
        <f t="shared" si="31"/>
        <v>130366.35999999999</v>
      </c>
      <c r="G184" s="146">
        <v>0</v>
      </c>
      <c r="H184" s="146">
        <v>2557</v>
      </c>
      <c r="I184" s="146">
        <v>5401</v>
      </c>
      <c r="J184" s="146">
        <v>3697</v>
      </c>
      <c r="K184" s="146">
        <f>35534.18+11128.03+5800+13122.8+12347.26</f>
        <v>77932.26999999999</v>
      </c>
      <c r="L184" s="146">
        <f>4963.44+4475.4</f>
        <v>9438.84</v>
      </c>
      <c r="M184" s="146">
        <f>326.85+3932.4+3132</f>
        <v>7391.25</v>
      </c>
      <c r="N184" s="146">
        <f>5037.52+7884.52</f>
        <v>12922.04</v>
      </c>
      <c r="O184" s="146">
        <v>11026.96</v>
      </c>
      <c r="P184" s="146">
        <v>0</v>
      </c>
      <c r="Q184" s="146">
        <v>0</v>
      </c>
      <c r="R184" s="146">
        <v>0</v>
      </c>
      <c r="S184" s="138"/>
    </row>
    <row r="185" spans="1:19" x14ac:dyDescent="0.25">
      <c r="A185" s="59" t="s">
        <v>8</v>
      </c>
      <c r="B185" s="67">
        <v>0</v>
      </c>
      <c r="C185" s="58">
        <v>4804.01</v>
      </c>
      <c r="D185" s="58"/>
      <c r="E185" s="58">
        <f t="shared" si="36"/>
        <v>4804.01</v>
      </c>
      <c r="F185" s="138">
        <f t="shared" si="31"/>
        <v>4804.01</v>
      </c>
      <c r="G185" s="146">
        <v>0</v>
      </c>
      <c r="H185" s="146">
        <v>0</v>
      </c>
      <c r="I185" s="146">
        <v>0</v>
      </c>
      <c r="J185" s="146">
        <v>0</v>
      </c>
      <c r="K185" s="146">
        <v>4197.5</v>
      </c>
      <c r="L185" s="146">
        <v>606.51</v>
      </c>
      <c r="M185" s="146">
        <v>0</v>
      </c>
      <c r="N185" s="146">
        <v>0</v>
      </c>
      <c r="O185" s="146">
        <v>0</v>
      </c>
      <c r="P185" s="146">
        <v>0</v>
      </c>
      <c r="Q185" s="146">
        <v>0</v>
      </c>
      <c r="R185" s="146">
        <v>0</v>
      </c>
      <c r="S185" s="138"/>
    </row>
    <row r="186" spans="1:19" x14ac:dyDescent="0.25">
      <c r="A186" s="60" t="s">
        <v>167</v>
      </c>
      <c r="B186" s="67">
        <v>82790.559999999998</v>
      </c>
      <c r="C186" s="58">
        <v>56192</v>
      </c>
      <c r="D186" s="58"/>
      <c r="E186" s="58">
        <f t="shared" si="36"/>
        <v>138982.56</v>
      </c>
      <c r="F186" s="138">
        <f t="shared" si="31"/>
        <v>138982.56</v>
      </c>
      <c r="G186" s="146">
        <v>0</v>
      </c>
      <c r="H186" s="146">
        <v>525.01</v>
      </c>
      <c r="I186" s="146">
        <v>0</v>
      </c>
      <c r="J186" s="146">
        <v>2140</v>
      </c>
      <c r="K186" s="146">
        <f>2407.95+3706.49</f>
        <v>6114.44</v>
      </c>
      <c r="L186" s="146">
        <v>2842.22</v>
      </c>
      <c r="M186" s="146">
        <f>56428.78+4708</f>
        <v>61136.78</v>
      </c>
      <c r="N186" s="146">
        <f>3545.19+3876.38+2685.69</f>
        <v>10107.26</v>
      </c>
      <c r="O186" s="146">
        <f>11616.85+44500</f>
        <v>56116.85</v>
      </c>
      <c r="P186" s="146">
        <v>0</v>
      </c>
      <c r="Q186" s="146">
        <v>0</v>
      </c>
      <c r="R186" s="146">
        <v>0</v>
      </c>
      <c r="S186" s="138"/>
    </row>
    <row r="187" spans="1:19" x14ac:dyDescent="0.25">
      <c r="A187" s="59" t="s">
        <v>9</v>
      </c>
      <c r="B187" s="67">
        <v>75139.649999999994</v>
      </c>
      <c r="C187" s="58">
        <v>73177</v>
      </c>
      <c r="D187" s="58"/>
      <c r="E187" s="58">
        <f t="shared" si="36"/>
        <v>148316.65</v>
      </c>
      <c r="F187" s="138">
        <f t="shared" si="31"/>
        <v>148316.65</v>
      </c>
      <c r="G187" s="146">
        <v>0</v>
      </c>
      <c r="H187" s="146">
        <v>8921</v>
      </c>
      <c r="I187" s="146">
        <v>1162.03</v>
      </c>
      <c r="J187" s="146">
        <f>1098+33.5</f>
        <v>1131.5</v>
      </c>
      <c r="K187" s="146">
        <f>30323-4667.78</f>
        <v>25655.22</v>
      </c>
      <c r="L187" s="146">
        <v>26034.3</v>
      </c>
      <c r="M187" s="146">
        <v>22309.09</v>
      </c>
      <c r="N187" s="146">
        <f>1249.99+41865.39</f>
        <v>43115.38</v>
      </c>
      <c r="O187" s="146">
        <v>19988.13</v>
      </c>
      <c r="P187" s="146">
        <v>0</v>
      </c>
      <c r="Q187" s="146">
        <v>0</v>
      </c>
      <c r="R187" s="146">
        <v>0</v>
      </c>
      <c r="S187" s="138"/>
    </row>
    <row r="188" spans="1:19" x14ac:dyDescent="0.25">
      <c r="A188" s="59" t="s">
        <v>73</v>
      </c>
      <c r="B188" s="67">
        <v>45215.479999999996</v>
      </c>
      <c r="C188" s="58">
        <v>14935</v>
      </c>
      <c r="D188" s="58"/>
      <c r="E188" s="58">
        <f t="shared" si="36"/>
        <v>60150.479999999996</v>
      </c>
      <c r="F188" s="138">
        <f t="shared" si="31"/>
        <v>60150.479999999996</v>
      </c>
      <c r="G188" s="146">
        <v>0</v>
      </c>
      <c r="H188" s="146">
        <v>0</v>
      </c>
      <c r="I188" s="146">
        <v>0</v>
      </c>
      <c r="J188" s="146">
        <v>15352.21</v>
      </c>
      <c r="K188" s="146">
        <v>1224.96</v>
      </c>
      <c r="L188" s="146">
        <v>0</v>
      </c>
      <c r="M188" s="146">
        <v>12427.01</v>
      </c>
      <c r="N188" s="146">
        <v>23158.74</v>
      </c>
      <c r="O188" s="146">
        <v>7987.56</v>
      </c>
      <c r="P188" s="146">
        <v>0</v>
      </c>
      <c r="Q188" s="146">
        <v>0</v>
      </c>
      <c r="R188" s="146">
        <v>0</v>
      </c>
      <c r="S188" s="138"/>
    </row>
    <row r="189" spans="1:19" x14ac:dyDescent="0.25">
      <c r="A189" s="60" t="s">
        <v>168</v>
      </c>
      <c r="B189" s="67">
        <v>0</v>
      </c>
      <c r="C189" s="67">
        <v>6203.82</v>
      </c>
      <c r="D189" s="58"/>
      <c r="E189" s="58">
        <f t="shared" si="36"/>
        <v>6203.82</v>
      </c>
      <c r="F189" s="138">
        <f t="shared" si="31"/>
        <v>6203.82</v>
      </c>
      <c r="G189" s="146">
        <v>0</v>
      </c>
      <c r="H189" s="146">
        <v>2918.73</v>
      </c>
      <c r="I189" s="146">
        <v>753.3</v>
      </c>
      <c r="J189" s="146">
        <v>350.99</v>
      </c>
      <c r="K189" s="146">
        <v>0</v>
      </c>
      <c r="L189" s="146">
        <v>0</v>
      </c>
      <c r="M189" s="146">
        <v>84.44</v>
      </c>
      <c r="N189" s="146">
        <v>2096.36</v>
      </c>
      <c r="O189" s="146">
        <v>0</v>
      </c>
      <c r="P189" s="146">
        <v>0</v>
      </c>
      <c r="Q189" s="146">
        <v>0</v>
      </c>
      <c r="R189" s="146">
        <v>0</v>
      </c>
      <c r="S189" s="138"/>
    </row>
    <row r="190" spans="1:19" x14ac:dyDescent="0.25">
      <c r="A190" s="59" t="s">
        <v>170</v>
      </c>
      <c r="B190" s="67">
        <v>288948.47999999998</v>
      </c>
      <c r="C190" s="67">
        <v>119394.78</v>
      </c>
      <c r="D190" s="58"/>
      <c r="E190" s="58">
        <f t="shared" si="36"/>
        <v>408343.26</v>
      </c>
      <c r="F190" s="138">
        <f t="shared" si="31"/>
        <v>408343.25999999995</v>
      </c>
      <c r="G190" s="146">
        <v>0</v>
      </c>
      <c r="H190" s="146">
        <v>19</v>
      </c>
      <c r="I190" s="146">
        <f>25468.99+279999.98</f>
        <v>305468.96999999997</v>
      </c>
      <c r="J190" s="146">
        <v>51520.81</v>
      </c>
      <c r="K190" s="146">
        <v>2899.56</v>
      </c>
      <c r="L190" s="146">
        <f>6960+3424.32</f>
        <v>10384.32</v>
      </c>
      <c r="M190" s="146">
        <v>2212.29</v>
      </c>
      <c r="N190" s="146">
        <f>6434.13+16122.96</f>
        <v>22557.09</v>
      </c>
      <c r="O190" s="146">
        <v>13281.22</v>
      </c>
      <c r="P190" s="146">
        <v>0</v>
      </c>
      <c r="Q190" s="146">
        <v>0</v>
      </c>
      <c r="R190" s="146">
        <v>0</v>
      </c>
      <c r="S190" s="138"/>
    </row>
    <row r="191" spans="1:19" x14ac:dyDescent="0.25">
      <c r="A191" s="59" t="s">
        <v>263</v>
      </c>
      <c r="B191" s="67">
        <v>296.95999999999998</v>
      </c>
      <c r="C191" s="67"/>
      <c r="D191" s="58"/>
      <c r="E191" s="58">
        <f t="shared" ref="E191" si="41">+B191+C191+D191</f>
        <v>296.95999999999998</v>
      </c>
      <c r="F191" s="138">
        <f t="shared" ref="F191" si="42">SUM(G191:R191)</f>
        <v>296.95999999999998</v>
      </c>
      <c r="G191" s="146">
        <v>0</v>
      </c>
      <c r="H191" s="146">
        <v>0</v>
      </c>
      <c r="I191" s="146">
        <v>0</v>
      </c>
      <c r="J191" s="146">
        <v>0</v>
      </c>
      <c r="K191" s="146">
        <v>296.95999999999998</v>
      </c>
      <c r="L191" s="146">
        <v>0</v>
      </c>
      <c r="M191" s="146">
        <v>0</v>
      </c>
      <c r="N191" s="146">
        <v>0</v>
      </c>
      <c r="O191" s="146">
        <v>0</v>
      </c>
      <c r="P191" s="146">
        <v>0</v>
      </c>
      <c r="Q191" s="146">
        <v>0</v>
      </c>
      <c r="R191" s="146">
        <v>0</v>
      </c>
      <c r="S191" s="138"/>
    </row>
    <row r="192" spans="1:19" x14ac:dyDescent="0.25">
      <c r="A192" s="59" t="s">
        <v>10</v>
      </c>
      <c r="B192" s="67">
        <v>0</v>
      </c>
      <c r="C192" s="58">
        <v>734951.17</v>
      </c>
      <c r="D192" s="58"/>
      <c r="E192" s="58">
        <f t="shared" si="36"/>
        <v>734951.17</v>
      </c>
      <c r="F192" s="138">
        <f t="shared" si="31"/>
        <v>734951.17</v>
      </c>
      <c r="G192" s="146">
        <v>60845</v>
      </c>
      <c r="H192" s="146">
        <v>34604.01</v>
      </c>
      <c r="I192" s="146">
        <v>73522.100000000006</v>
      </c>
      <c r="J192" s="146">
        <v>59424</v>
      </c>
      <c r="K192" s="146">
        <v>12016.99</v>
      </c>
      <c r="L192" s="146">
        <f>109575.98-86771.11+33019.2+28959.2</f>
        <v>84783.26999999999</v>
      </c>
      <c r="M192" s="146">
        <v>142437.79999999999</v>
      </c>
      <c r="N192" s="146">
        <v>55252.800000000003</v>
      </c>
      <c r="O192" s="146">
        <v>70103.8</v>
      </c>
      <c r="P192" s="146">
        <v>70820.600000000006</v>
      </c>
      <c r="Q192" s="146">
        <v>71123.8</v>
      </c>
      <c r="R192" s="146">
        <v>17</v>
      </c>
      <c r="S192" s="138"/>
    </row>
    <row r="193" spans="1:19" x14ac:dyDescent="0.25">
      <c r="A193" s="59" t="s">
        <v>231</v>
      </c>
      <c r="B193" s="67">
        <v>142156.09</v>
      </c>
      <c r="C193" s="58"/>
      <c r="D193" s="58"/>
      <c r="E193" s="58">
        <f t="shared" ref="E193" si="43">+B193+C193+D193</f>
        <v>142156.09</v>
      </c>
      <c r="F193" s="138">
        <f t="shared" ref="F193" si="44">SUM(G193:R193)</f>
        <v>142156.09</v>
      </c>
      <c r="G193" s="146">
        <v>6100</v>
      </c>
      <c r="H193" s="146">
        <v>0</v>
      </c>
      <c r="I193" s="146">
        <f>9805.43+63323.24</f>
        <v>73128.67</v>
      </c>
      <c r="J193" s="146">
        <f>2000+1740+2628.15</f>
        <v>6368.15</v>
      </c>
      <c r="K193" s="146">
        <v>10000</v>
      </c>
      <c r="L193" s="146">
        <v>6438.92</v>
      </c>
      <c r="M193" s="146">
        <v>4490.3599999999997</v>
      </c>
      <c r="N193" s="146">
        <v>3648.39</v>
      </c>
      <c r="O193" s="146">
        <v>31981.599999999999</v>
      </c>
      <c r="P193" s="146">
        <v>0</v>
      </c>
      <c r="Q193" s="146">
        <v>0</v>
      </c>
      <c r="R193" s="146">
        <v>0</v>
      </c>
      <c r="S193" s="138"/>
    </row>
    <row r="194" spans="1:19" x14ac:dyDescent="0.25">
      <c r="A194" s="59" t="s">
        <v>11</v>
      </c>
      <c r="B194" s="67">
        <v>80814.979999999981</v>
      </c>
      <c r="C194" s="58">
        <v>237786</v>
      </c>
      <c r="D194" s="58"/>
      <c r="E194" s="58">
        <f t="shared" si="36"/>
        <v>318600.98</v>
      </c>
      <c r="F194" s="138">
        <f t="shared" si="31"/>
        <v>318600.98</v>
      </c>
      <c r="G194" s="146">
        <v>6480</v>
      </c>
      <c r="H194" s="146">
        <v>1616.87</v>
      </c>
      <c r="I194" s="146">
        <v>8491</v>
      </c>
      <c r="J194" s="146">
        <v>832</v>
      </c>
      <c r="K194" s="146">
        <f>6350.33-5721.44</f>
        <v>628.89000000000033</v>
      </c>
      <c r="L194" s="146">
        <f>1078.8+19400.13</f>
        <v>20478.93</v>
      </c>
      <c r="M194" s="146">
        <v>237468.29</v>
      </c>
      <c r="N194" s="146">
        <v>0</v>
      </c>
      <c r="O194" s="146">
        <v>42605</v>
      </c>
      <c r="P194" s="146">
        <v>0</v>
      </c>
      <c r="Q194" s="146">
        <v>0</v>
      </c>
      <c r="R194" s="146">
        <v>0</v>
      </c>
      <c r="S194" s="138"/>
    </row>
    <row r="195" spans="1:19" x14ac:dyDescent="0.25">
      <c r="A195" s="59" t="s">
        <v>251</v>
      </c>
      <c r="B195" s="67">
        <v>54733.259999999995</v>
      </c>
      <c r="C195" s="58"/>
      <c r="D195" s="58"/>
      <c r="E195" s="58">
        <f t="shared" ref="E195" si="45">+B195+C195+D195</f>
        <v>54733.259999999995</v>
      </c>
      <c r="F195" s="138">
        <f t="shared" ref="F195" si="46">SUM(G195:R195)</f>
        <v>54733.259999999995</v>
      </c>
      <c r="G195" s="146">
        <v>0</v>
      </c>
      <c r="H195" s="146">
        <v>0</v>
      </c>
      <c r="I195" s="146">
        <v>2888.4</v>
      </c>
      <c r="J195" s="146">
        <v>0</v>
      </c>
      <c r="K195" s="146">
        <v>15578.8</v>
      </c>
      <c r="L195" s="146">
        <v>13875.47</v>
      </c>
      <c r="M195" s="146">
        <v>12404.34</v>
      </c>
      <c r="N195" s="146">
        <f>245+1621.25</f>
        <v>1866.25</v>
      </c>
      <c r="O195" s="146">
        <v>8120</v>
      </c>
      <c r="P195" s="146">
        <v>0</v>
      </c>
      <c r="Q195" s="146">
        <v>0</v>
      </c>
      <c r="R195" s="146">
        <v>0</v>
      </c>
      <c r="S195" s="138"/>
    </row>
    <row r="196" spans="1:19" x14ac:dyDescent="0.25">
      <c r="A196" s="59" t="s">
        <v>264</v>
      </c>
      <c r="B196" s="67">
        <v>568.4</v>
      </c>
      <c r="C196" s="58"/>
      <c r="D196" s="58"/>
      <c r="E196" s="58">
        <f t="shared" ref="E196" si="47">+B196+C196+D196</f>
        <v>568.4</v>
      </c>
      <c r="F196" s="138">
        <f t="shared" ref="F196" si="48">SUM(G196:R196)</f>
        <v>568.4</v>
      </c>
      <c r="G196" s="146">
        <v>0</v>
      </c>
      <c r="H196" s="146">
        <v>0</v>
      </c>
      <c r="I196" s="146">
        <v>0</v>
      </c>
      <c r="J196" s="146">
        <v>0</v>
      </c>
      <c r="K196" s="146">
        <v>568.4</v>
      </c>
      <c r="L196" s="146">
        <v>0</v>
      </c>
      <c r="M196" s="146">
        <v>0</v>
      </c>
      <c r="N196" s="146">
        <v>0</v>
      </c>
      <c r="O196" s="146">
        <v>0</v>
      </c>
      <c r="P196" s="146">
        <v>0</v>
      </c>
      <c r="Q196" s="146">
        <v>0</v>
      </c>
      <c r="R196" s="146">
        <v>0</v>
      </c>
      <c r="S196" s="138"/>
    </row>
    <row r="197" spans="1:19" x14ac:dyDescent="0.25">
      <c r="A197" s="59" t="s">
        <v>12</v>
      </c>
      <c r="B197" s="67">
        <v>61415.55</v>
      </c>
      <c r="C197" s="58">
        <v>8811</v>
      </c>
      <c r="D197" s="58"/>
      <c r="E197" s="58">
        <f t="shared" si="36"/>
        <v>70226.55</v>
      </c>
      <c r="F197" s="138">
        <f t="shared" si="31"/>
        <v>70226.55</v>
      </c>
      <c r="G197" s="146">
        <v>0</v>
      </c>
      <c r="H197" s="146">
        <v>0</v>
      </c>
      <c r="I197" s="146">
        <v>13012.89</v>
      </c>
      <c r="J197" s="146">
        <v>14211</v>
      </c>
      <c r="K197" s="146">
        <v>2711</v>
      </c>
      <c r="L197" s="146">
        <f>2688.6+7640.09</f>
        <v>10328.69</v>
      </c>
      <c r="M197" s="146">
        <v>6542.4</v>
      </c>
      <c r="N197" s="146">
        <f>485+22005.57</f>
        <v>22490.57</v>
      </c>
      <c r="O197" s="146">
        <v>930</v>
      </c>
      <c r="P197" s="146">
        <v>0</v>
      </c>
      <c r="Q197" s="146">
        <v>0</v>
      </c>
      <c r="R197" s="146">
        <v>0</v>
      </c>
      <c r="S197" s="138"/>
    </row>
    <row r="198" spans="1:19" x14ac:dyDescent="0.25">
      <c r="A198" s="59" t="s">
        <v>13</v>
      </c>
      <c r="B198" s="67">
        <v>40974.070000000007</v>
      </c>
      <c r="C198" s="58">
        <v>13093</v>
      </c>
      <c r="D198" s="58"/>
      <c r="E198" s="58">
        <f t="shared" si="36"/>
        <v>54067.070000000007</v>
      </c>
      <c r="F198" s="138">
        <f t="shared" si="31"/>
        <v>54067.070000000007</v>
      </c>
      <c r="G198" s="146">
        <v>0</v>
      </c>
      <c r="H198" s="146">
        <v>916</v>
      </c>
      <c r="I198" s="146">
        <v>13280.6</v>
      </c>
      <c r="J198" s="146">
        <v>451</v>
      </c>
      <c r="K198" s="146">
        <f>16051.84-7510.25</f>
        <v>8541.59</v>
      </c>
      <c r="L198" s="146">
        <v>10000</v>
      </c>
      <c r="M198" s="146">
        <v>3737.79</v>
      </c>
      <c r="N198" s="146">
        <v>15949.11</v>
      </c>
      <c r="O198" s="146">
        <v>1190.98</v>
      </c>
      <c r="P198" s="146">
        <v>0</v>
      </c>
      <c r="Q198" s="146">
        <v>0</v>
      </c>
      <c r="R198" s="146">
        <v>0</v>
      </c>
      <c r="S198" s="138"/>
    </row>
    <row r="199" spans="1:19" x14ac:dyDescent="0.25">
      <c r="A199" s="59" t="s">
        <v>34</v>
      </c>
      <c r="B199" s="67">
        <v>0</v>
      </c>
      <c r="C199" s="58">
        <v>34730.04</v>
      </c>
      <c r="D199" s="58"/>
      <c r="E199" s="58">
        <f t="shared" si="36"/>
        <v>34730.04</v>
      </c>
      <c r="F199" s="138">
        <f t="shared" si="31"/>
        <v>34730.04</v>
      </c>
      <c r="G199" s="146">
        <v>0</v>
      </c>
      <c r="H199" s="146">
        <v>0</v>
      </c>
      <c r="I199" s="146">
        <v>0</v>
      </c>
      <c r="J199" s="146">
        <v>21757.56</v>
      </c>
      <c r="K199" s="146">
        <v>2504.44</v>
      </c>
      <c r="L199" s="146">
        <v>5897.64</v>
      </c>
      <c r="M199" s="146">
        <v>4176</v>
      </c>
      <c r="N199" s="146">
        <v>394.4</v>
      </c>
      <c r="O199" s="146">
        <v>0</v>
      </c>
      <c r="P199" s="146">
        <v>0</v>
      </c>
      <c r="Q199" s="146">
        <v>0</v>
      </c>
      <c r="R199" s="146">
        <v>0</v>
      </c>
      <c r="S199" s="138"/>
    </row>
    <row r="200" spans="1:19" x14ac:dyDescent="0.25">
      <c r="A200" s="59" t="s">
        <v>35</v>
      </c>
      <c r="B200" s="67">
        <v>124605.65000000002</v>
      </c>
      <c r="C200" s="58">
        <v>67697</v>
      </c>
      <c r="D200" s="58"/>
      <c r="E200" s="58">
        <f t="shared" si="36"/>
        <v>192302.65000000002</v>
      </c>
      <c r="F200" s="138">
        <f t="shared" si="31"/>
        <v>192302.65000000002</v>
      </c>
      <c r="G200" s="146">
        <v>12577</v>
      </c>
      <c r="H200" s="146">
        <f>3236.4+5452.4</f>
        <v>8688.7999999999993</v>
      </c>
      <c r="I200" s="146">
        <v>24154.53</v>
      </c>
      <c r="J200" s="146">
        <f>21126+14402.4+500</f>
        <v>36028.400000000001</v>
      </c>
      <c r="K200" s="146">
        <v>22143.22</v>
      </c>
      <c r="L200" s="146">
        <v>23444.29</v>
      </c>
      <c r="M200" s="146">
        <v>53455.53</v>
      </c>
      <c r="N200" s="146">
        <v>4722.12</v>
      </c>
      <c r="O200" s="146">
        <v>7088.76</v>
      </c>
      <c r="P200" s="146">
        <v>0</v>
      </c>
      <c r="Q200" s="146">
        <v>0</v>
      </c>
      <c r="R200" s="146">
        <v>0</v>
      </c>
      <c r="S200" s="138"/>
    </row>
    <row r="201" spans="1:19" x14ac:dyDescent="0.25">
      <c r="A201" s="59" t="s">
        <v>258</v>
      </c>
      <c r="B201" s="67">
        <v>25831.58</v>
      </c>
      <c r="C201" s="58"/>
      <c r="D201" s="58"/>
      <c r="E201" s="58">
        <f t="shared" ref="E201" si="49">+B201+C201+D201</f>
        <v>25831.58</v>
      </c>
      <c r="F201" s="138">
        <f t="shared" ref="F201" si="50">SUM(G201:R201)</f>
        <v>25831.58</v>
      </c>
      <c r="G201" s="146">
        <v>0</v>
      </c>
      <c r="H201" s="146">
        <v>0</v>
      </c>
      <c r="I201" s="146">
        <v>0</v>
      </c>
      <c r="J201" s="146">
        <v>25831.58</v>
      </c>
      <c r="K201" s="146">
        <v>0</v>
      </c>
      <c r="L201" s="146">
        <v>0</v>
      </c>
      <c r="M201" s="146">
        <v>0</v>
      </c>
      <c r="N201" s="146">
        <v>0</v>
      </c>
      <c r="O201" s="146">
        <v>0</v>
      </c>
      <c r="P201" s="146">
        <v>0</v>
      </c>
      <c r="Q201" s="146">
        <v>0</v>
      </c>
      <c r="R201" s="146">
        <v>0</v>
      </c>
      <c r="S201" s="138"/>
    </row>
    <row r="202" spans="1:19" x14ac:dyDescent="0.25">
      <c r="A202" s="59" t="s">
        <v>36</v>
      </c>
      <c r="B202" s="67">
        <v>0</v>
      </c>
      <c r="C202" s="67">
        <v>0</v>
      </c>
      <c r="D202" s="58"/>
      <c r="E202" s="58">
        <f t="shared" si="36"/>
        <v>0</v>
      </c>
      <c r="F202" s="138">
        <f t="shared" si="31"/>
        <v>0</v>
      </c>
      <c r="G202" s="146">
        <v>0</v>
      </c>
      <c r="H202" s="146">
        <v>0</v>
      </c>
      <c r="I202" s="146">
        <v>0</v>
      </c>
      <c r="J202" s="146">
        <v>0</v>
      </c>
      <c r="K202" s="146">
        <v>0</v>
      </c>
      <c r="L202" s="146">
        <v>0</v>
      </c>
      <c r="M202" s="146">
        <v>0</v>
      </c>
      <c r="N202" s="146">
        <v>0</v>
      </c>
      <c r="O202" s="146">
        <v>0</v>
      </c>
      <c r="P202" s="146">
        <v>0</v>
      </c>
      <c r="Q202" s="146">
        <v>0</v>
      </c>
      <c r="R202" s="146">
        <v>0</v>
      </c>
      <c r="S202" s="138"/>
    </row>
    <row r="203" spans="1:19" x14ac:dyDescent="0.25">
      <c r="A203" s="59" t="s">
        <v>5</v>
      </c>
      <c r="B203" s="70"/>
      <c r="C203" s="58"/>
      <c r="D203" s="58"/>
      <c r="E203" s="58">
        <f t="shared" si="36"/>
        <v>0</v>
      </c>
      <c r="F203" s="138">
        <f t="shared" si="31"/>
        <v>24808599.450000003</v>
      </c>
      <c r="G203" s="138">
        <f>SUM(F161:F202)</f>
        <v>13787752.910000006</v>
      </c>
      <c r="H203" s="138">
        <f>7998729.71+139178.71+2882938.12</f>
        <v>11020846.539999999</v>
      </c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7"/>
    </row>
    <row r="204" spans="1:19" x14ac:dyDescent="0.25">
      <c r="A204" s="9"/>
      <c r="B204" s="40"/>
      <c r="C204" s="40"/>
      <c r="D204" s="40"/>
      <c r="E204" s="51"/>
      <c r="F204" s="138">
        <f>SUM(E161:E203)+E209+F227</f>
        <v>14127668.910000006</v>
      </c>
      <c r="G204" s="138" t="s">
        <v>132</v>
      </c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7"/>
    </row>
    <row r="205" spans="1:19" ht="18.75" x14ac:dyDescent="0.4">
      <c r="A205" s="32" t="s">
        <v>111</v>
      </c>
      <c r="B205" s="40"/>
      <c r="C205" s="40"/>
      <c r="D205" s="40"/>
      <c r="E205" s="51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7"/>
    </row>
    <row r="206" spans="1:19" x14ac:dyDescent="0.25">
      <c r="A206" s="59"/>
      <c r="B206" s="58"/>
      <c r="C206" s="58"/>
      <c r="D206" s="58"/>
      <c r="E206" s="58">
        <f t="shared" ref="E206:E207" si="51">+B206+C206+D206</f>
        <v>0</v>
      </c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7"/>
    </row>
    <row r="207" spans="1:19" x14ac:dyDescent="0.25">
      <c r="A207" s="59"/>
      <c r="B207" s="58"/>
      <c r="C207" s="58"/>
      <c r="D207" s="58"/>
      <c r="E207" s="58">
        <f t="shared" si="51"/>
        <v>0</v>
      </c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7"/>
    </row>
    <row r="208" spans="1:19" ht="18.75" x14ac:dyDescent="0.4">
      <c r="A208" s="32" t="s">
        <v>112</v>
      </c>
      <c r="B208" s="40"/>
      <c r="C208" s="40"/>
      <c r="D208" s="40"/>
      <c r="E208" s="51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7"/>
    </row>
    <row r="209" spans="1:20" x14ac:dyDescent="0.25">
      <c r="A209" s="60" t="s">
        <v>267</v>
      </c>
      <c r="B209" s="58">
        <v>0</v>
      </c>
      <c r="C209" s="58">
        <v>339916</v>
      </c>
      <c r="D209" s="58"/>
      <c r="E209" s="58">
        <f t="shared" ref="E209:E213" si="52">+B209+C209+D209</f>
        <v>339916</v>
      </c>
      <c r="F209" s="138">
        <f t="shared" ref="F209:F212" si="53">SUM(G209:R209)</f>
        <v>339916</v>
      </c>
      <c r="G209" s="138">
        <v>0</v>
      </c>
      <c r="H209" s="138">
        <v>0</v>
      </c>
      <c r="I209" s="138">
        <v>339916</v>
      </c>
      <c r="J209" s="138">
        <v>0</v>
      </c>
      <c r="K209" s="138">
        <v>0</v>
      </c>
      <c r="L209" s="138">
        <v>0</v>
      </c>
      <c r="M209" s="138">
        <v>0</v>
      </c>
      <c r="N209" s="138">
        <v>0</v>
      </c>
      <c r="O209" s="138">
        <v>0</v>
      </c>
      <c r="P209" s="138">
        <v>0</v>
      </c>
      <c r="Q209" s="138">
        <v>0</v>
      </c>
      <c r="R209" s="138">
        <v>0</v>
      </c>
      <c r="S209" s="137"/>
    </row>
    <row r="210" spans="1:20" x14ac:dyDescent="0.25">
      <c r="A210" s="60" t="s">
        <v>268</v>
      </c>
      <c r="B210" s="58"/>
      <c r="C210" s="58">
        <v>1232217</v>
      </c>
      <c r="D210" s="58"/>
      <c r="E210" s="58">
        <f t="shared" si="52"/>
        <v>1232217</v>
      </c>
      <c r="F210" s="138">
        <f t="shared" si="53"/>
        <v>1232217</v>
      </c>
      <c r="G210" s="138">
        <v>0</v>
      </c>
      <c r="H210" s="138">
        <v>0</v>
      </c>
      <c r="I210" s="138">
        <v>0</v>
      </c>
      <c r="J210" s="138">
        <v>1221472.55</v>
      </c>
      <c r="K210" s="138">
        <v>5862.23</v>
      </c>
      <c r="L210" s="138">
        <v>5759.24</v>
      </c>
      <c r="M210" s="138">
        <v>-8484.5499999999993</v>
      </c>
      <c r="N210" s="138">
        <v>7607.53</v>
      </c>
      <c r="O210" s="138">
        <v>0</v>
      </c>
      <c r="P210" s="138">
        <v>0</v>
      </c>
      <c r="Q210" s="138">
        <v>0</v>
      </c>
      <c r="R210" s="138">
        <v>0</v>
      </c>
      <c r="S210" s="137"/>
    </row>
    <row r="211" spans="1:20" x14ac:dyDescent="0.25">
      <c r="A211" s="60" t="s">
        <v>269</v>
      </c>
      <c r="B211" s="58"/>
      <c r="C211" s="58">
        <v>2518699.7000000002</v>
      </c>
      <c r="D211" s="58"/>
      <c r="E211" s="58">
        <f t="shared" si="52"/>
        <v>2518699.7000000002</v>
      </c>
      <c r="F211" s="138">
        <f t="shared" si="53"/>
        <v>2518699.7000000002</v>
      </c>
      <c r="G211" s="138">
        <v>961018.28</v>
      </c>
      <c r="H211" s="138">
        <f>79337.41+372891.35</f>
        <v>452228.76</v>
      </c>
      <c r="I211" s="138">
        <f>8873.97+31917.98</f>
        <v>40791.949999999997</v>
      </c>
      <c r="J211" s="138">
        <f>209895.58-183517.58</f>
        <v>26378</v>
      </c>
      <c r="K211" s="138">
        <v>543305.59</v>
      </c>
      <c r="L211" s="138">
        <v>0</v>
      </c>
      <c r="M211" s="138">
        <v>0</v>
      </c>
      <c r="N211" s="138">
        <v>494977.12</v>
      </c>
      <c r="O211" s="138">
        <v>0</v>
      </c>
      <c r="P211" s="138">
        <v>0</v>
      </c>
      <c r="Q211" s="138">
        <v>0</v>
      </c>
      <c r="R211" s="138">
        <v>0</v>
      </c>
      <c r="S211" s="137">
        <v>1075607.6599999999</v>
      </c>
      <c r="T211" s="36">
        <f>+F211-S211</f>
        <v>1443092.0400000003</v>
      </c>
    </row>
    <row r="212" spans="1:20" x14ac:dyDescent="0.25">
      <c r="A212" s="60" t="s">
        <v>278</v>
      </c>
      <c r="B212" s="58">
        <v>1500000</v>
      </c>
      <c r="C212" s="58">
        <v>0</v>
      </c>
      <c r="D212" s="58"/>
      <c r="E212" s="58">
        <f t="shared" si="52"/>
        <v>1500000</v>
      </c>
      <c r="F212" s="138">
        <f t="shared" si="53"/>
        <v>1500000</v>
      </c>
      <c r="G212" s="138">
        <v>0</v>
      </c>
      <c r="H212" s="138">
        <v>0</v>
      </c>
      <c r="I212" s="138">
        <v>0</v>
      </c>
      <c r="J212" s="138">
        <v>0</v>
      </c>
      <c r="K212" s="138">
        <v>0</v>
      </c>
      <c r="L212" s="138">
        <v>0</v>
      </c>
      <c r="M212" s="138">
        <v>0</v>
      </c>
      <c r="N212" s="138">
        <v>0</v>
      </c>
      <c r="O212" s="138">
        <v>0</v>
      </c>
      <c r="P212" s="138">
        <v>1500000</v>
      </c>
      <c r="Q212" s="138">
        <v>0</v>
      </c>
      <c r="R212" s="138">
        <v>0</v>
      </c>
      <c r="S212" s="137"/>
    </row>
    <row r="213" spans="1:20" x14ac:dyDescent="0.25">
      <c r="A213" s="60" t="s">
        <v>120</v>
      </c>
      <c r="B213" s="58"/>
      <c r="C213" s="58">
        <v>217814.25</v>
      </c>
      <c r="D213" s="58"/>
      <c r="E213" s="58">
        <f t="shared" si="52"/>
        <v>217814.25</v>
      </c>
      <c r="F213" s="138">
        <f t="shared" ref="F213" si="54">SUM(G213:R213)</f>
        <v>217814.25</v>
      </c>
      <c r="G213" s="138">
        <v>0</v>
      </c>
      <c r="H213" s="138">
        <v>0</v>
      </c>
      <c r="I213" s="138">
        <v>0</v>
      </c>
      <c r="J213" s="138">
        <v>0</v>
      </c>
      <c r="K213" s="138">
        <v>0</v>
      </c>
      <c r="L213" s="138">
        <v>0</v>
      </c>
      <c r="M213" s="138">
        <v>0</v>
      </c>
      <c r="N213" s="138">
        <v>217814.25</v>
      </c>
      <c r="O213" s="138">
        <v>0</v>
      </c>
      <c r="P213" s="138">
        <v>0</v>
      </c>
      <c r="Q213" s="138">
        <v>0</v>
      </c>
      <c r="R213" s="138">
        <v>0</v>
      </c>
      <c r="S213" s="137"/>
    </row>
    <row r="214" spans="1:20" x14ac:dyDescent="0.25">
      <c r="A214" s="60" t="s">
        <v>121</v>
      </c>
      <c r="B214" s="61">
        <v>0</v>
      </c>
      <c r="C214" s="58"/>
      <c r="D214" s="58"/>
      <c r="E214" s="58">
        <f t="shared" ref="E214" si="55">+B214+C214+D214</f>
        <v>0</v>
      </c>
      <c r="F214" s="138" t="s">
        <v>75</v>
      </c>
      <c r="G214" s="138" t="s">
        <v>75</v>
      </c>
      <c r="H214" s="138" t="s">
        <v>75</v>
      </c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7"/>
    </row>
    <row r="215" spans="1:20" ht="18.75" x14ac:dyDescent="0.4">
      <c r="A215" s="34" t="s">
        <v>113</v>
      </c>
      <c r="B215" s="40"/>
      <c r="C215" s="40"/>
      <c r="D215" s="40"/>
      <c r="E215" s="51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7"/>
    </row>
    <row r="216" spans="1:20" x14ac:dyDescent="0.25">
      <c r="A216" s="59" t="s">
        <v>133</v>
      </c>
      <c r="B216" s="96">
        <v>0</v>
      </c>
      <c r="C216" s="96">
        <v>53360</v>
      </c>
      <c r="D216" s="58"/>
      <c r="E216" s="58">
        <f t="shared" ref="E216:E227" si="56">+B216+C216+D216</f>
        <v>53360</v>
      </c>
      <c r="F216" s="138">
        <f t="shared" ref="F216:F227" si="57">SUM(G216:R216)</f>
        <v>53360</v>
      </c>
      <c r="G216" s="138">
        <v>0</v>
      </c>
      <c r="H216" s="138">
        <v>0</v>
      </c>
      <c r="I216" s="138">
        <v>0</v>
      </c>
      <c r="J216" s="138">
        <v>0</v>
      </c>
      <c r="K216" s="138">
        <v>28420</v>
      </c>
      <c r="L216" s="138">
        <v>0</v>
      </c>
      <c r="M216" s="138">
        <v>24940</v>
      </c>
      <c r="N216" s="138">
        <v>0</v>
      </c>
      <c r="O216" s="138">
        <v>0</v>
      </c>
      <c r="P216" s="138">
        <v>0</v>
      </c>
      <c r="Q216" s="138">
        <v>0</v>
      </c>
      <c r="R216" s="138">
        <v>0</v>
      </c>
      <c r="S216" s="137"/>
    </row>
    <row r="217" spans="1:20" x14ac:dyDescent="0.25">
      <c r="A217" s="92" t="s">
        <v>134</v>
      </c>
      <c r="B217" s="96">
        <v>0</v>
      </c>
      <c r="C217" s="96">
        <v>2143.6999999999998</v>
      </c>
      <c r="D217" s="58"/>
      <c r="E217" s="58">
        <f t="shared" si="56"/>
        <v>2143.6999999999998</v>
      </c>
      <c r="F217" s="138">
        <f t="shared" si="57"/>
        <v>2143.6999999999998</v>
      </c>
      <c r="G217" s="138">
        <v>0</v>
      </c>
      <c r="H217" s="138">
        <v>0</v>
      </c>
      <c r="I217" s="138">
        <v>0</v>
      </c>
      <c r="J217" s="138">
        <v>0</v>
      </c>
      <c r="K217" s="138">
        <v>0</v>
      </c>
      <c r="L217" s="138">
        <v>2143.6999999999998</v>
      </c>
      <c r="M217" s="138">
        <v>0</v>
      </c>
      <c r="N217" s="138">
        <v>0</v>
      </c>
      <c r="O217" s="138">
        <v>0</v>
      </c>
      <c r="P217" s="138">
        <v>0</v>
      </c>
      <c r="Q217" s="138">
        <v>0</v>
      </c>
      <c r="R217" s="138">
        <v>0</v>
      </c>
      <c r="S217" s="137"/>
    </row>
    <row r="218" spans="1:20" x14ac:dyDescent="0.25">
      <c r="A218" s="92" t="s">
        <v>135</v>
      </c>
      <c r="B218" s="61">
        <v>0</v>
      </c>
      <c r="C218" s="131">
        <v>0</v>
      </c>
      <c r="D218" s="58"/>
      <c r="E218" s="58">
        <f t="shared" si="56"/>
        <v>0</v>
      </c>
      <c r="F218" s="138">
        <f t="shared" si="57"/>
        <v>0</v>
      </c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7"/>
    </row>
    <row r="219" spans="1:20" x14ac:dyDescent="0.25">
      <c r="A219" s="92" t="s">
        <v>126</v>
      </c>
      <c r="B219" s="61"/>
      <c r="C219" s="131">
        <v>73307.459999999992</v>
      </c>
      <c r="D219" s="58"/>
      <c r="E219" s="58">
        <f t="shared" ref="E219" si="58">+B219+C219+D219</f>
        <v>73307.459999999992</v>
      </c>
      <c r="F219" s="138">
        <f t="shared" ref="F219" si="59">SUM(G219:R219)</f>
        <v>73307.459999999992</v>
      </c>
      <c r="G219" s="138">
        <v>0</v>
      </c>
      <c r="H219" s="138">
        <v>0</v>
      </c>
      <c r="I219" s="138">
        <v>0</v>
      </c>
      <c r="J219" s="138">
        <v>0</v>
      </c>
      <c r="K219" s="138">
        <v>2958</v>
      </c>
      <c r="L219" s="138">
        <v>1479</v>
      </c>
      <c r="M219" s="138">
        <v>0</v>
      </c>
      <c r="N219" s="138">
        <v>23710.5</v>
      </c>
      <c r="O219" s="138">
        <v>0</v>
      </c>
      <c r="P219" s="138">
        <v>45159.96</v>
      </c>
      <c r="Q219" s="138">
        <v>0</v>
      </c>
      <c r="R219" s="138">
        <v>0</v>
      </c>
      <c r="S219" s="137"/>
    </row>
    <row r="220" spans="1:20" x14ac:dyDescent="0.25">
      <c r="A220" s="92" t="s">
        <v>137</v>
      </c>
      <c r="B220" s="61">
        <v>0</v>
      </c>
      <c r="C220" s="131">
        <v>0</v>
      </c>
      <c r="D220" s="58"/>
      <c r="E220" s="58">
        <f t="shared" si="56"/>
        <v>0</v>
      </c>
      <c r="F220" s="138">
        <f t="shared" si="57"/>
        <v>0</v>
      </c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7"/>
    </row>
    <row r="221" spans="1:20" x14ac:dyDescent="0.25">
      <c r="A221" s="92" t="s">
        <v>138</v>
      </c>
      <c r="B221" s="96">
        <v>0</v>
      </c>
      <c r="C221" s="96">
        <v>0</v>
      </c>
      <c r="D221" s="58"/>
      <c r="E221" s="58">
        <f t="shared" si="56"/>
        <v>0</v>
      </c>
      <c r="F221" s="138">
        <f t="shared" si="57"/>
        <v>0</v>
      </c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7"/>
    </row>
    <row r="222" spans="1:20" x14ac:dyDescent="0.25">
      <c r="A222" s="92" t="s">
        <v>139</v>
      </c>
      <c r="B222" s="61">
        <v>0</v>
      </c>
      <c r="C222" s="131">
        <v>0</v>
      </c>
      <c r="D222" s="58"/>
      <c r="E222" s="58">
        <f t="shared" si="56"/>
        <v>0</v>
      </c>
      <c r="F222" s="138">
        <f t="shared" si="57"/>
        <v>0</v>
      </c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7"/>
    </row>
    <row r="223" spans="1:20" x14ac:dyDescent="0.25">
      <c r="A223" s="92" t="s">
        <v>140</v>
      </c>
      <c r="B223" s="61">
        <v>0</v>
      </c>
      <c r="C223" s="132">
        <v>0</v>
      </c>
      <c r="D223" s="58"/>
      <c r="E223" s="58">
        <f t="shared" si="56"/>
        <v>0</v>
      </c>
      <c r="F223" s="138">
        <f t="shared" si="57"/>
        <v>0</v>
      </c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7"/>
    </row>
    <row r="224" spans="1:20" x14ac:dyDescent="0.25">
      <c r="A224" s="92" t="s">
        <v>141</v>
      </c>
      <c r="B224" s="61">
        <v>0</v>
      </c>
      <c r="C224" s="131">
        <v>7538.84</v>
      </c>
      <c r="D224" s="58"/>
      <c r="E224" s="58">
        <f t="shared" si="56"/>
        <v>7538.84</v>
      </c>
      <c r="F224" s="138">
        <f t="shared" si="57"/>
        <v>7538.84</v>
      </c>
      <c r="G224" s="138">
        <v>0</v>
      </c>
      <c r="H224" s="138">
        <v>0</v>
      </c>
      <c r="I224" s="138">
        <v>0</v>
      </c>
      <c r="J224" s="138">
        <v>0</v>
      </c>
      <c r="K224" s="138">
        <v>0</v>
      </c>
      <c r="L224" s="138">
        <v>0</v>
      </c>
      <c r="M224" s="138">
        <v>4638.84</v>
      </c>
      <c r="N224" s="138">
        <v>2900</v>
      </c>
      <c r="O224" s="138">
        <v>0</v>
      </c>
      <c r="P224" s="138">
        <v>0</v>
      </c>
      <c r="Q224" s="138">
        <v>0</v>
      </c>
      <c r="R224" s="138">
        <v>0</v>
      </c>
      <c r="S224" s="137"/>
    </row>
    <row r="225" spans="1:34" x14ac:dyDescent="0.25">
      <c r="A225" s="92" t="s">
        <v>142</v>
      </c>
      <c r="B225" s="96">
        <v>0</v>
      </c>
      <c r="C225" s="96">
        <v>10492.2</v>
      </c>
      <c r="D225" s="58"/>
      <c r="E225" s="58">
        <f t="shared" si="56"/>
        <v>10492.2</v>
      </c>
      <c r="F225" s="138">
        <f t="shared" si="57"/>
        <v>10492.2</v>
      </c>
      <c r="G225" s="138">
        <v>0</v>
      </c>
      <c r="H225" s="138">
        <v>0</v>
      </c>
      <c r="I225" s="138">
        <v>0</v>
      </c>
      <c r="J225" s="138">
        <v>0</v>
      </c>
      <c r="K225" s="138">
        <v>0</v>
      </c>
      <c r="L225" s="138">
        <v>0</v>
      </c>
      <c r="M225" s="138">
        <v>10492.2</v>
      </c>
      <c r="N225" s="138">
        <v>0</v>
      </c>
      <c r="O225" s="138">
        <v>0</v>
      </c>
      <c r="P225" s="138">
        <v>0</v>
      </c>
      <c r="Q225" s="138">
        <v>0</v>
      </c>
      <c r="R225" s="138">
        <v>0</v>
      </c>
      <c r="S225" s="137"/>
    </row>
    <row r="226" spans="1:34" x14ac:dyDescent="0.25">
      <c r="A226" s="92" t="s">
        <v>143</v>
      </c>
      <c r="B226" s="96">
        <v>0</v>
      </c>
      <c r="C226" s="96">
        <v>25456.28</v>
      </c>
      <c r="D226" s="58"/>
      <c r="E226" s="58">
        <f t="shared" si="56"/>
        <v>25456.28</v>
      </c>
      <c r="F226" s="138">
        <f t="shared" si="57"/>
        <v>25456.28</v>
      </c>
      <c r="G226" s="138">
        <v>0</v>
      </c>
      <c r="H226" s="138">
        <v>0</v>
      </c>
      <c r="I226" s="138">
        <v>0</v>
      </c>
      <c r="J226" s="138">
        <v>0</v>
      </c>
      <c r="K226" s="138">
        <v>6858</v>
      </c>
      <c r="L226" s="138">
        <v>0</v>
      </c>
      <c r="M226" s="138">
        <v>0</v>
      </c>
      <c r="N226" s="138">
        <v>0</v>
      </c>
      <c r="O226" s="138">
        <v>0</v>
      </c>
      <c r="P226" s="138">
        <v>18598.28</v>
      </c>
      <c r="Q226" s="138">
        <v>0</v>
      </c>
      <c r="R226" s="138">
        <v>0</v>
      </c>
      <c r="S226" s="137"/>
    </row>
    <row r="227" spans="1:34" x14ac:dyDescent="0.25">
      <c r="A227" s="59"/>
      <c r="B227" s="58"/>
      <c r="C227" s="58"/>
      <c r="D227" s="58"/>
      <c r="E227" s="58">
        <f t="shared" si="56"/>
        <v>0</v>
      </c>
      <c r="F227" s="138">
        <f t="shared" si="57"/>
        <v>0</v>
      </c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7"/>
    </row>
    <row r="228" spans="1:34" x14ac:dyDescent="0.25">
      <c r="A228" s="9"/>
      <c r="B228" s="40"/>
      <c r="C228" s="40"/>
      <c r="D228" s="40"/>
      <c r="E228" s="51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7"/>
    </row>
    <row r="229" spans="1:34" x14ac:dyDescent="0.25">
      <c r="A229" s="9"/>
      <c r="B229" s="40"/>
      <c r="C229" s="40"/>
      <c r="D229" s="40"/>
      <c r="E229" s="51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7"/>
    </row>
    <row r="230" spans="1:34" x14ac:dyDescent="0.25">
      <c r="A230" s="9"/>
      <c r="B230" s="40"/>
      <c r="C230" s="40"/>
      <c r="D230" s="40"/>
      <c r="E230" s="51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7"/>
    </row>
    <row r="231" spans="1:34" ht="18.75" x14ac:dyDescent="0.4">
      <c r="A231" s="169" t="s">
        <v>37</v>
      </c>
      <c r="B231" s="169"/>
      <c r="C231" s="169"/>
      <c r="D231" s="169"/>
      <c r="E231" s="169"/>
      <c r="F231" s="150"/>
      <c r="G231" s="150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7"/>
    </row>
    <row r="232" spans="1:34" s="16" customFormat="1" ht="18.75" x14ac:dyDescent="0.4">
      <c r="A232" s="21"/>
      <c r="B232" s="43"/>
      <c r="C232" s="43"/>
      <c r="D232" s="43"/>
      <c r="E232" s="43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43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</row>
    <row r="233" spans="1:34" s="16" customFormat="1" ht="30" x14ac:dyDescent="0.4">
      <c r="A233" s="33" t="s">
        <v>105</v>
      </c>
      <c r="B233" s="38" t="s">
        <v>106</v>
      </c>
      <c r="C233" s="38" t="s">
        <v>107</v>
      </c>
      <c r="D233" s="38" t="s">
        <v>108</v>
      </c>
      <c r="E233" s="38" t="s">
        <v>109</v>
      </c>
      <c r="F233" s="154"/>
      <c r="G233" s="38" t="s">
        <v>192</v>
      </c>
      <c r="H233" s="38" t="s">
        <v>193</v>
      </c>
      <c r="I233" s="38" t="s">
        <v>194</v>
      </c>
      <c r="J233" s="38" t="s">
        <v>195</v>
      </c>
      <c r="K233" s="38" t="s">
        <v>196</v>
      </c>
      <c r="L233" s="38" t="s">
        <v>197</v>
      </c>
      <c r="M233" s="38" t="s">
        <v>198</v>
      </c>
      <c r="N233" s="38" t="s">
        <v>199</v>
      </c>
      <c r="O233" s="38" t="s">
        <v>200</v>
      </c>
      <c r="P233" s="38" t="s">
        <v>201</v>
      </c>
      <c r="Q233" s="38" t="s">
        <v>202</v>
      </c>
      <c r="R233" s="38" t="s">
        <v>203</v>
      </c>
      <c r="S233" s="143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</row>
    <row r="234" spans="1:34" s="16" customFormat="1" ht="18.75" x14ac:dyDescent="0.4">
      <c r="A234" s="32" t="s">
        <v>110</v>
      </c>
      <c r="B234" s="37">
        <f>SUM(B235:B247)</f>
        <v>5250</v>
      </c>
      <c r="C234" s="37">
        <f t="shared" ref="C234:E234" si="60">SUM(C235:C247)</f>
        <v>0</v>
      </c>
      <c r="D234" s="37">
        <f t="shared" si="60"/>
        <v>0</v>
      </c>
      <c r="E234" s="37">
        <f t="shared" si="60"/>
        <v>5250</v>
      </c>
      <c r="F234" s="138"/>
      <c r="G234" s="138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43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</row>
    <row r="235" spans="1:34" s="3" customFormat="1" ht="11.25" customHeight="1" x14ac:dyDescent="0.15">
      <c r="A235" s="57" t="s">
        <v>1</v>
      </c>
      <c r="B235" s="67">
        <v>5250</v>
      </c>
      <c r="C235" s="58"/>
      <c r="D235" s="58"/>
      <c r="E235" s="58">
        <f>+B235+C235+D235</f>
        <v>5250</v>
      </c>
      <c r="F235" s="138">
        <f t="shared" ref="F235:F238" si="61">SUM(G235:R235)</f>
        <v>5250</v>
      </c>
      <c r="G235" s="138">
        <v>0</v>
      </c>
      <c r="H235" s="138">
        <v>0</v>
      </c>
      <c r="I235" s="138">
        <v>0</v>
      </c>
      <c r="J235" s="138">
        <v>0</v>
      </c>
      <c r="K235" s="138">
        <v>0</v>
      </c>
      <c r="L235" s="138">
        <v>0</v>
      </c>
      <c r="M235" s="138">
        <v>0</v>
      </c>
      <c r="N235" s="138">
        <v>0</v>
      </c>
      <c r="O235" s="138">
        <v>0</v>
      </c>
      <c r="P235" s="138">
        <v>5250</v>
      </c>
      <c r="Q235" s="138">
        <v>0</v>
      </c>
      <c r="R235" s="138">
        <v>0</v>
      </c>
      <c r="S235" s="139"/>
      <c r="U235" s="4"/>
      <c r="W235" s="4"/>
      <c r="Y235" s="4"/>
      <c r="AA235" s="4"/>
      <c r="AC235" s="4"/>
      <c r="AE235" s="4"/>
      <c r="AG235" s="4"/>
    </row>
    <row r="236" spans="1:34" x14ac:dyDescent="0.25">
      <c r="A236" s="57" t="s">
        <v>19</v>
      </c>
      <c r="B236" s="70">
        <v>0</v>
      </c>
      <c r="C236" s="58"/>
      <c r="D236" s="58"/>
      <c r="E236" s="58">
        <f t="shared" ref="E236:E238" si="62">+B236+C236+D236</f>
        <v>0</v>
      </c>
      <c r="F236" s="138">
        <f t="shared" si="61"/>
        <v>0</v>
      </c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7"/>
    </row>
    <row r="237" spans="1:34" x14ac:dyDescent="0.25">
      <c r="A237" s="57" t="s">
        <v>11</v>
      </c>
      <c r="B237" s="70">
        <v>0</v>
      </c>
      <c r="C237" s="58"/>
      <c r="D237" s="58"/>
      <c r="E237" s="58">
        <f t="shared" si="62"/>
        <v>0</v>
      </c>
      <c r="F237" s="138">
        <f t="shared" si="61"/>
        <v>0</v>
      </c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7"/>
    </row>
    <row r="238" spans="1:34" x14ac:dyDescent="0.25">
      <c r="A238" s="59" t="s">
        <v>5</v>
      </c>
      <c r="B238" s="70"/>
      <c r="C238" s="58"/>
      <c r="D238" s="58"/>
      <c r="E238" s="58">
        <f t="shared" si="62"/>
        <v>0</v>
      </c>
      <c r="F238" s="138">
        <f t="shared" si="61"/>
        <v>0</v>
      </c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7"/>
    </row>
    <row r="239" spans="1:34" x14ac:dyDescent="0.25"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7"/>
    </row>
    <row r="240" spans="1:34" ht="18.75" x14ac:dyDescent="0.4">
      <c r="A240" s="32" t="s">
        <v>111</v>
      </c>
      <c r="B240" s="40"/>
      <c r="C240" s="40"/>
      <c r="D240" s="40"/>
      <c r="E240" s="51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7"/>
    </row>
    <row r="241" spans="1:19" x14ac:dyDescent="0.25">
      <c r="A241" s="59"/>
      <c r="B241" s="58"/>
      <c r="C241" s="58"/>
      <c r="D241" s="58"/>
      <c r="E241" s="58">
        <f t="shared" ref="E241:E242" si="63">+B241+C241+D241</f>
        <v>0</v>
      </c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7"/>
    </row>
    <row r="242" spans="1:19" x14ac:dyDescent="0.25">
      <c r="A242" s="59"/>
      <c r="B242" s="58"/>
      <c r="C242" s="58"/>
      <c r="D242" s="58"/>
      <c r="E242" s="58">
        <f t="shared" si="63"/>
        <v>0</v>
      </c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7"/>
    </row>
    <row r="243" spans="1:19" ht="18.75" x14ac:dyDescent="0.4">
      <c r="A243" s="32" t="s">
        <v>112</v>
      </c>
      <c r="B243" s="40"/>
      <c r="C243" s="40"/>
      <c r="D243" s="40"/>
      <c r="E243" s="51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7"/>
    </row>
    <row r="244" spans="1:19" x14ac:dyDescent="0.25">
      <c r="A244" s="60" t="s">
        <v>120</v>
      </c>
      <c r="B244" s="58">
        <v>0</v>
      </c>
      <c r="C244" s="58"/>
      <c r="D244" s="58"/>
      <c r="E244" s="58">
        <f t="shared" ref="E244:E245" si="64">+B244+C244+D244</f>
        <v>0</v>
      </c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7"/>
    </row>
    <row r="245" spans="1:19" x14ac:dyDescent="0.25">
      <c r="A245" s="60" t="s">
        <v>121</v>
      </c>
      <c r="B245" s="61">
        <v>0</v>
      </c>
      <c r="C245" s="58"/>
      <c r="D245" s="58"/>
      <c r="E245" s="58">
        <f t="shared" si="64"/>
        <v>0</v>
      </c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7"/>
    </row>
    <row r="246" spans="1:19" ht="18.75" x14ac:dyDescent="0.4">
      <c r="A246" s="34" t="s">
        <v>113</v>
      </c>
      <c r="B246" s="40"/>
      <c r="C246" s="40"/>
      <c r="D246" s="40"/>
      <c r="E246" s="51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7"/>
    </row>
    <row r="247" spans="1:19" x14ac:dyDescent="0.25">
      <c r="A247" s="59"/>
      <c r="B247" s="58"/>
      <c r="C247" s="58"/>
      <c r="D247" s="58"/>
      <c r="E247" s="58">
        <f t="shared" ref="E247" si="65">+B247+C247+D247</f>
        <v>0</v>
      </c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7"/>
    </row>
    <row r="248" spans="1:19" x14ac:dyDescent="0.25">
      <c r="A248" s="9"/>
      <c r="B248" s="40"/>
      <c r="C248" s="40"/>
      <c r="D248" s="40"/>
      <c r="E248" s="40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7"/>
    </row>
    <row r="249" spans="1:19" x14ac:dyDescent="0.25">
      <c r="A249" s="9"/>
      <c r="B249" s="40"/>
      <c r="C249" s="40"/>
      <c r="D249" s="40"/>
      <c r="E249" s="40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7"/>
    </row>
    <row r="250" spans="1:19" ht="18.75" x14ac:dyDescent="0.4">
      <c r="A250" s="169" t="s">
        <v>144</v>
      </c>
      <c r="B250" s="169"/>
      <c r="C250" s="169"/>
      <c r="D250" s="169"/>
      <c r="E250" s="169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7"/>
    </row>
    <row r="251" spans="1:19" ht="18.75" x14ac:dyDescent="0.4">
      <c r="A251" s="21"/>
      <c r="B251" s="43"/>
      <c r="C251" s="43"/>
      <c r="D251" s="43"/>
      <c r="E251" s="43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7"/>
    </row>
    <row r="252" spans="1:19" ht="30" x14ac:dyDescent="0.25">
      <c r="A252" s="33" t="s">
        <v>105</v>
      </c>
      <c r="B252" s="38" t="s">
        <v>106</v>
      </c>
      <c r="C252" s="38" t="s">
        <v>107</v>
      </c>
      <c r="D252" s="38" t="s">
        <v>108</v>
      </c>
      <c r="E252" s="38" t="s">
        <v>109</v>
      </c>
      <c r="F252" s="138"/>
      <c r="G252" s="38" t="s">
        <v>192</v>
      </c>
      <c r="H252" s="38" t="s">
        <v>193</v>
      </c>
      <c r="I252" s="38" t="s">
        <v>194</v>
      </c>
      <c r="J252" s="38" t="s">
        <v>195</v>
      </c>
      <c r="K252" s="38" t="s">
        <v>196</v>
      </c>
      <c r="L252" s="38" t="s">
        <v>197</v>
      </c>
      <c r="M252" s="38" t="s">
        <v>198</v>
      </c>
      <c r="N252" s="38" t="s">
        <v>199</v>
      </c>
      <c r="O252" s="38" t="s">
        <v>200</v>
      </c>
      <c r="P252" s="38" t="s">
        <v>201</v>
      </c>
      <c r="Q252" s="38" t="s">
        <v>202</v>
      </c>
      <c r="R252" s="38" t="s">
        <v>203</v>
      </c>
      <c r="S252" s="137"/>
    </row>
    <row r="253" spans="1:19" ht="18.75" x14ac:dyDescent="0.4">
      <c r="A253" s="32" t="s">
        <v>110</v>
      </c>
      <c r="B253" s="37">
        <f>SUM(B254:B280)</f>
        <v>261072.93000000002</v>
      </c>
      <c r="C253" s="37">
        <f t="shared" ref="C253:E253" si="66">SUM(C254:C280)</f>
        <v>0</v>
      </c>
      <c r="D253" s="37">
        <f t="shared" si="66"/>
        <v>0</v>
      </c>
      <c r="E253" s="37">
        <f t="shared" si="66"/>
        <v>261072.93000000002</v>
      </c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7"/>
    </row>
    <row r="254" spans="1:19" x14ac:dyDescent="0.25">
      <c r="A254" s="57" t="s">
        <v>1</v>
      </c>
      <c r="B254" s="67">
        <v>25452.6</v>
      </c>
      <c r="C254" s="58"/>
      <c r="D254" s="58"/>
      <c r="E254" s="58">
        <f>+B254+C254+D254</f>
        <v>25452.6</v>
      </c>
      <c r="F254" s="138">
        <f t="shared" ref="F254:F271" si="67">SUM(G254:R254)</f>
        <v>25452.6</v>
      </c>
      <c r="G254" s="138">
        <v>0</v>
      </c>
      <c r="H254" s="138">
        <v>0</v>
      </c>
      <c r="I254" s="138">
        <v>0</v>
      </c>
      <c r="J254" s="138">
        <v>0</v>
      </c>
      <c r="K254" s="138">
        <v>0</v>
      </c>
      <c r="L254" s="138">
        <v>885.08</v>
      </c>
      <c r="M254" s="138">
        <v>0</v>
      </c>
      <c r="N254" s="138">
        <v>83.52</v>
      </c>
      <c r="O254" s="138">
        <v>0</v>
      </c>
      <c r="P254" s="138">
        <v>21587</v>
      </c>
      <c r="Q254" s="138">
        <v>2897</v>
      </c>
      <c r="R254" s="138">
        <v>0</v>
      </c>
      <c r="S254" s="137"/>
    </row>
    <row r="255" spans="1:19" x14ac:dyDescent="0.25">
      <c r="A255" s="59" t="s">
        <v>2</v>
      </c>
      <c r="B255" s="167">
        <v>67453</v>
      </c>
      <c r="C255" s="58"/>
      <c r="D255" s="58"/>
      <c r="E255" s="58">
        <f t="shared" ref="E255:E270" si="68">+B255+C255+D255</f>
        <v>67453</v>
      </c>
      <c r="F255" s="138">
        <f t="shared" ref="F255:F270" si="69">SUM(G255:R255)</f>
        <v>67453</v>
      </c>
      <c r="G255" s="138">
        <v>0</v>
      </c>
      <c r="H255" s="138">
        <v>0</v>
      </c>
      <c r="I255" s="138">
        <v>0</v>
      </c>
      <c r="J255" s="138">
        <v>3202</v>
      </c>
      <c r="K255" s="138">
        <v>0</v>
      </c>
      <c r="L255" s="138">
        <v>6090</v>
      </c>
      <c r="M255" s="138">
        <v>0</v>
      </c>
      <c r="N255" s="138">
        <v>0</v>
      </c>
      <c r="O255" s="138">
        <v>58161</v>
      </c>
      <c r="P255" s="138">
        <v>0</v>
      </c>
      <c r="Q255" s="138">
        <v>0</v>
      </c>
      <c r="R255" s="138">
        <v>0</v>
      </c>
      <c r="S255" s="137"/>
    </row>
    <row r="256" spans="1:19" x14ac:dyDescent="0.25">
      <c r="A256" s="57" t="s">
        <v>3</v>
      </c>
      <c r="B256" s="167">
        <v>269</v>
      </c>
      <c r="C256" s="58"/>
      <c r="D256" s="58"/>
      <c r="E256" s="58">
        <f t="shared" si="68"/>
        <v>269</v>
      </c>
      <c r="F256" s="138">
        <f t="shared" si="69"/>
        <v>269</v>
      </c>
      <c r="G256" s="138">
        <v>0</v>
      </c>
      <c r="H256" s="138">
        <v>0</v>
      </c>
      <c r="I256" s="138">
        <v>0</v>
      </c>
      <c r="J256" s="138">
        <v>144</v>
      </c>
      <c r="K256" s="138">
        <v>125</v>
      </c>
      <c r="L256" s="138">
        <v>0</v>
      </c>
      <c r="M256" s="138">
        <v>0</v>
      </c>
      <c r="N256" s="138">
        <v>0</v>
      </c>
      <c r="O256" s="138">
        <v>0</v>
      </c>
      <c r="P256" s="138">
        <v>0</v>
      </c>
      <c r="Q256" s="138">
        <v>0</v>
      </c>
      <c r="R256" s="138">
        <v>0</v>
      </c>
      <c r="S256" s="137"/>
    </row>
    <row r="257" spans="1:19" x14ac:dyDescent="0.25">
      <c r="A257" s="59" t="s">
        <v>6</v>
      </c>
      <c r="B257" s="167">
        <v>521.6</v>
      </c>
      <c r="C257" s="58"/>
      <c r="D257" s="58"/>
      <c r="E257" s="58">
        <f t="shared" si="68"/>
        <v>521.6</v>
      </c>
      <c r="F257" s="138">
        <f t="shared" si="69"/>
        <v>521.6</v>
      </c>
      <c r="G257" s="138">
        <v>0</v>
      </c>
      <c r="H257" s="138">
        <v>0</v>
      </c>
      <c r="I257" s="138">
        <v>0</v>
      </c>
      <c r="J257" s="138">
        <v>0</v>
      </c>
      <c r="K257" s="138">
        <v>0</v>
      </c>
      <c r="L257" s="138">
        <v>215</v>
      </c>
      <c r="M257" s="138">
        <v>306.60000000000002</v>
      </c>
      <c r="N257" s="138">
        <v>0</v>
      </c>
      <c r="O257" s="138">
        <v>0</v>
      </c>
      <c r="P257" s="138">
        <v>0</v>
      </c>
      <c r="Q257" s="138">
        <v>0</v>
      </c>
      <c r="R257" s="138">
        <v>0</v>
      </c>
      <c r="S257" s="137"/>
    </row>
    <row r="258" spans="1:19" x14ac:dyDescent="0.25">
      <c r="A258" s="57" t="s">
        <v>19</v>
      </c>
      <c r="B258" s="70">
        <v>7990</v>
      </c>
      <c r="C258" s="58"/>
      <c r="D258" s="58"/>
      <c r="E258" s="58">
        <f t="shared" si="68"/>
        <v>7990</v>
      </c>
      <c r="F258" s="138">
        <f t="shared" si="69"/>
        <v>7990</v>
      </c>
      <c r="G258" s="138">
        <v>0</v>
      </c>
      <c r="H258" s="138">
        <v>0</v>
      </c>
      <c r="I258" s="138">
        <v>0</v>
      </c>
      <c r="J258" s="138">
        <v>0</v>
      </c>
      <c r="K258" s="138">
        <v>0</v>
      </c>
      <c r="L258" s="138">
        <v>0</v>
      </c>
      <c r="M258" s="138">
        <v>0</v>
      </c>
      <c r="N258" s="138">
        <v>0</v>
      </c>
      <c r="O258" s="138">
        <v>0</v>
      </c>
      <c r="P258" s="138">
        <v>4870</v>
      </c>
      <c r="Q258" s="138">
        <v>3120</v>
      </c>
      <c r="R258" s="138">
        <v>0</v>
      </c>
      <c r="S258" s="137"/>
    </row>
    <row r="259" spans="1:19" x14ac:dyDescent="0.25">
      <c r="A259" s="57" t="s">
        <v>265</v>
      </c>
      <c r="B259" s="70">
        <v>972</v>
      </c>
      <c r="C259" s="58"/>
      <c r="D259" s="58"/>
      <c r="E259" s="58">
        <f t="shared" si="68"/>
        <v>972</v>
      </c>
      <c r="F259" s="138">
        <f t="shared" si="69"/>
        <v>972</v>
      </c>
      <c r="G259" s="138">
        <v>0</v>
      </c>
      <c r="H259" s="138">
        <v>0</v>
      </c>
      <c r="I259" s="138">
        <v>972</v>
      </c>
      <c r="J259" s="138">
        <v>0</v>
      </c>
      <c r="K259" s="138">
        <v>0</v>
      </c>
      <c r="L259" s="138">
        <v>0</v>
      </c>
      <c r="M259" s="138">
        <v>0</v>
      </c>
      <c r="N259" s="138">
        <v>0</v>
      </c>
      <c r="O259" s="138">
        <v>0</v>
      </c>
      <c r="P259" s="138">
        <v>0</v>
      </c>
      <c r="Q259" s="138">
        <v>0</v>
      </c>
      <c r="R259" s="138">
        <v>0</v>
      </c>
      <c r="S259" s="137"/>
    </row>
    <row r="260" spans="1:19" x14ac:dyDescent="0.25">
      <c r="A260" s="59" t="s">
        <v>32</v>
      </c>
      <c r="B260" s="70">
        <v>31571.54</v>
      </c>
      <c r="C260" s="58"/>
      <c r="D260" s="58"/>
      <c r="E260" s="58">
        <f t="shared" si="68"/>
        <v>31571.54</v>
      </c>
      <c r="F260" s="138">
        <f t="shared" si="69"/>
        <v>31571.54</v>
      </c>
      <c r="G260" s="138">
        <v>0</v>
      </c>
      <c r="H260" s="138">
        <v>3598.99</v>
      </c>
      <c r="I260" s="138">
        <v>0</v>
      </c>
      <c r="J260" s="138">
        <v>0</v>
      </c>
      <c r="K260" s="138">
        <v>9388.2000000000007</v>
      </c>
      <c r="L260" s="138">
        <v>5053.62</v>
      </c>
      <c r="M260" s="138">
        <v>3658.73</v>
      </c>
      <c r="N260" s="138">
        <v>0</v>
      </c>
      <c r="O260" s="138">
        <v>9872</v>
      </c>
      <c r="P260" s="138">
        <v>0</v>
      </c>
      <c r="Q260" s="138">
        <v>0</v>
      </c>
      <c r="R260" s="138">
        <v>0</v>
      </c>
      <c r="S260" s="137"/>
    </row>
    <row r="261" spans="1:19" x14ac:dyDescent="0.25">
      <c r="A261" s="59" t="s">
        <v>8</v>
      </c>
      <c r="B261" s="70">
        <v>1979.5</v>
      </c>
      <c r="C261" s="58"/>
      <c r="D261" s="58"/>
      <c r="E261" s="58">
        <f t="shared" si="68"/>
        <v>1979.5</v>
      </c>
      <c r="F261" s="138">
        <f t="shared" si="69"/>
        <v>1979.5</v>
      </c>
      <c r="G261" s="138">
        <v>0</v>
      </c>
      <c r="H261" s="138">
        <v>0</v>
      </c>
      <c r="I261" s="138">
        <v>1050</v>
      </c>
      <c r="J261" s="138">
        <v>0</v>
      </c>
      <c r="K261" s="138">
        <v>0</v>
      </c>
      <c r="L261" s="138">
        <v>246.5</v>
      </c>
      <c r="M261" s="138">
        <v>683</v>
      </c>
      <c r="N261" s="138">
        <v>0</v>
      </c>
      <c r="O261" s="138">
        <v>0</v>
      </c>
      <c r="P261" s="138">
        <v>0</v>
      </c>
      <c r="Q261" s="138">
        <v>0</v>
      </c>
      <c r="R261" s="138">
        <v>0</v>
      </c>
      <c r="S261" s="137"/>
    </row>
    <row r="262" spans="1:19" x14ac:dyDescent="0.25">
      <c r="A262" s="59" t="s">
        <v>9</v>
      </c>
      <c r="B262" s="70">
        <v>1097</v>
      </c>
      <c r="C262" s="58"/>
      <c r="D262" s="58"/>
      <c r="E262" s="58">
        <f t="shared" si="68"/>
        <v>1097</v>
      </c>
      <c r="F262" s="138">
        <f t="shared" si="69"/>
        <v>1097</v>
      </c>
      <c r="G262" s="138">
        <v>0</v>
      </c>
      <c r="H262" s="138">
        <v>0</v>
      </c>
      <c r="I262" s="138">
        <v>0</v>
      </c>
      <c r="J262" s="138">
        <v>0</v>
      </c>
      <c r="K262" s="138">
        <v>1021</v>
      </c>
      <c r="L262" s="138">
        <v>0</v>
      </c>
      <c r="M262" s="138">
        <v>0</v>
      </c>
      <c r="N262" s="138">
        <v>76</v>
      </c>
      <c r="O262" s="138">
        <v>0</v>
      </c>
      <c r="P262" s="138">
        <v>0</v>
      </c>
      <c r="Q262" s="138">
        <v>0</v>
      </c>
      <c r="R262" s="138">
        <v>0</v>
      </c>
      <c r="S262" s="137"/>
    </row>
    <row r="263" spans="1:19" x14ac:dyDescent="0.25">
      <c r="A263" s="57" t="s">
        <v>228</v>
      </c>
      <c r="B263" s="70">
        <v>768</v>
      </c>
      <c r="C263" s="58"/>
      <c r="D263" s="58"/>
      <c r="E263" s="58">
        <f t="shared" si="68"/>
        <v>768</v>
      </c>
      <c r="F263" s="138">
        <f t="shared" si="69"/>
        <v>768</v>
      </c>
      <c r="G263" s="138">
        <v>0</v>
      </c>
      <c r="H263" s="138">
        <v>0</v>
      </c>
      <c r="I263" s="138">
        <v>0</v>
      </c>
      <c r="J263" s="138">
        <v>768</v>
      </c>
      <c r="K263" s="138">
        <v>0</v>
      </c>
      <c r="L263" s="138">
        <v>0</v>
      </c>
      <c r="M263" s="138">
        <v>0</v>
      </c>
      <c r="N263" s="138">
        <v>0</v>
      </c>
      <c r="O263" s="138">
        <v>0</v>
      </c>
      <c r="P263" s="138">
        <v>0</v>
      </c>
      <c r="Q263" s="138">
        <v>0</v>
      </c>
      <c r="R263" s="138">
        <v>0</v>
      </c>
      <c r="S263" s="137"/>
    </row>
    <row r="264" spans="1:19" x14ac:dyDescent="0.25">
      <c r="A264" s="57" t="s">
        <v>10</v>
      </c>
      <c r="B264" s="70">
        <v>41810.800000000003</v>
      </c>
      <c r="C264" s="58"/>
      <c r="D264" s="58"/>
      <c r="E264" s="58">
        <f t="shared" si="68"/>
        <v>41810.800000000003</v>
      </c>
      <c r="F264" s="138">
        <f t="shared" si="69"/>
        <v>41810.800000000003</v>
      </c>
      <c r="G264" s="138">
        <v>0</v>
      </c>
      <c r="H264" s="138">
        <v>0</v>
      </c>
      <c r="I264" s="138">
        <v>1050</v>
      </c>
      <c r="J264" s="138">
        <v>2350</v>
      </c>
      <c r="K264" s="138">
        <v>13150.8</v>
      </c>
      <c r="L264" s="138">
        <v>8120</v>
      </c>
      <c r="M264" s="138">
        <v>400</v>
      </c>
      <c r="N264" s="138">
        <v>8620</v>
      </c>
      <c r="O264" s="138">
        <v>8120</v>
      </c>
      <c r="P264" s="138">
        <v>0</v>
      </c>
      <c r="Q264" s="138">
        <v>0</v>
      </c>
      <c r="R264" s="138">
        <v>0</v>
      </c>
      <c r="S264" s="137"/>
    </row>
    <row r="265" spans="1:19" x14ac:dyDescent="0.25">
      <c r="A265" s="57" t="s">
        <v>231</v>
      </c>
      <c r="B265" s="70">
        <v>859.4</v>
      </c>
      <c r="C265" s="58"/>
      <c r="D265" s="58"/>
      <c r="E265" s="58">
        <f t="shared" si="68"/>
        <v>859.4</v>
      </c>
      <c r="F265" s="138">
        <f t="shared" si="69"/>
        <v>859.4</v>
      </c>
      <c r="G265" s="138">
        <v>0</v>
      </c>
      <c r="H265" s="138">
        <v>0</v>
      </c>
      <c r="I265" s="138">
        <v>0</v>
      </c>
      <c r="J265" s="138">
        <v>0</v>
      </c>
      <c r="K265" s="138">
        <v>859.4</v>
      </c>
      <c r="L265" s="138">
        <v>0</v>
      </c>
      <c r="M265" s="138">
        <v>0</v>
      </c>
      <c r="N265" s="138">
        <v>0</v>
      </c>
      <c r="O265" s="138">
        <v>0</v>
      </c>
      <c r="P265" s="138">
        <v>0</v>
      </c>
      <c r="Q265" s="138">
        <v>0</v>
      </c>
      <c r="R265" s="138">
        <v>0</v>
      </c>
      <c r="S265" s="137"/>
    </row>
    <row r="266" spans="1:19" x14ac:dyDescent="0.25">
      <c r="A266" s="57" t="s">
        <v>11</v>
      </c>
      <c r="B266" s="70">
        <v>10995</v>
      </c>
      <c r="C266" s="58"/>
      <c r="D266" s="58"/>
      <c r="E266" s="58">
        <f t="shared" si="68"/>
        <v>10995</v>
      </c>
      <c r="F266" s="138">
        <f t="shared" si="69"/>
        <v>10995</v>
      </c>
      <c r="G266" s="138">
        <v>0</v>
      </c>
      <c r="H266" s="138">
        <v>0</v>
      </c>
      <c r="I266" s="138">
        <v>0</v>
      </c>
      <c r="J266" s="138">
        <v>0</v>
      </c>
      <c r="K266" s="138">
        <v>0</v>
      </c>
      <c r="L266" s="138">
        <v>0</v>
      </c>
      <c r="M266" s="138">
        <v>0</v>
      </c>
      <c r="N266" s="138">
        <v>0</v>
      </c>
      <c r="O266" s="138">
        <v>0</v>
      </c>
      <c r="P266" s="138">
        <v>6870</v>
      </c>
      <c r="Q266" s="138">
        <v>4125</v>
      </c>
      <c r="R266" s="138">
        <v>0</v>
      </c>
      <c r="S266" s="137"/>
    </row>
    <row r="267" spans="1:19" x14ac:dyDescent="0.25">
      <c r="A267" s="59" t="s">
        <v>12</v>
      </c>
      <c r="B267" s="70">
        <v>2854.44</v>
      </c>
      <c r="C267" s="58"/>
      <c r="D267" s="58"/>
      <c r="E267" s="58">
        <f t="shared" si="68"/>
        <v>2854.44</v>
      </c>
      <c r="F267" s="138">
        <f t="shared" si="69"/>
        <v>2854.44</v>
      </c>
      <c r="G267" s="138">
        <v>0</v>
      </c>
      <c r="H267" s="138">
        <v>0</v>
      </c>
      <c r="I267" s="138">
        <v>0</v>
      </c>
      <c r="J267" s="138">
        <v>0</v>
      </c>
      <c r="K267" s="138">
        <v>50</v>
      </c>
      <c r="L267" s="138">
        <v>0</v>
      </c>
      <c r="M267" s="138">
        <v>2804.44</v>
      </c>
      <c r="N267" s="138">
        <v>0</v>
      </c>
      <c r="O267" s="138">
        <v>0</v>
      </c>
      <c r="P267" s="138">
        <v>0</v>
      </c>
      <c r="Q267" s="138">
        <v>0</v>
      </c>
      <c r="R267" s="138">
        <v>0</v>
      </c>
      <c r="S267" s="137"/>
    </row>
    <row r="268" spans="1:19" x14ac:dyDescent="0.25">
      <c r="A268" s="57" t="s">
        <v>248</v>
      </c>
      <c r="B268" s="70">
        <v>255.25</v>
      </c>
      <c r="C268" s="58"/>
      <c r="D268" s="58"/>
      <c r="E268" s="58">
        <f t="shared" si="68"/>
        <v>255.25</v>
      </c>
      <c r="F268" s="138">
        <f t="shared" si="69"/>
        <v>255.25</v>
      </c>
      <c r="G268" s="138">
        <v>0</v>
      </c>
      <c r="H268" s="138">
        <v>0</v>
      </c>
      <c r="I268" s="138">
        <v>255.25</v>
      </c>
      <c r="J268" s="138">
        <v>0</v>
      </c>
      <c r="K268" s="138">
        <v>0</v>
      </c>
      <c r="L268" s="138">
        <v>0</v>
      </c>
      <c r="M268" s="138">
        <v>0</v>
      </c>
      <c r="N268" s="138">
        <v>0</v>
      </c>
      <c r="O268" s="138">
        <v>0</v>
      </c>
      <c r="P268" s="138">
        <v>0</v>
      </c>
      <c r="Q268" s="138">
        <v>0</v>
      </c>
      <c r="R268" s="138">
        <v>0</v>
      </c>
      <c r="S268" s="137"/>
    </row>
    <row r="269" spans="1:19" x14ac:dyDescent="0.25">
      <c r="A269" s="59" t="s">
        <v>34</v>
      </c>
      <c r="B269" s="70">
        <v>14728</v>
      </c>
      <c r="C269" s="58"/>
      <c r="D269" s="58"/>
      <c r="E269" s="58">
        <f t="shared" si="68"/>
        <v>14728</v>
      </c>
      <c r="F269" s="138">
        <f t="shared" si="69"/>
        <v>14728</v>
      </c>
      <c r="G269" s="138">
        <v>0</v>
      </c>
      <c r="H269" s="138">
        <v>0</v>
      </c>
      <c r="I269" s="138">
        <v>0</v>
      </c>
      <c r="J269" s="138">
        <v>401</v>
      </c>
      <c r="K269" s="138">
        <v>696</v>
      </c>
      <c r="L269" s="138">
        <v>0</v>
      </c>
      <c r="M269" s="138">
        <v>1698</v>
      </c>
      <c r="N269" s="138">
        <v>849</v>
      </c>
      <c r="O269" s="138">
        <v>11084</v>
      </c>
      <c r="P269" s="138">
        <v>0</v>
      </c>
      <c r="Q269" s="138">
        <v>0</v>
      </c>
      <c r="R269" s="138">
        <v>0</v>
      </c>
      <c r="S269" s="137"/>
    </row>
    <row r="270" spans="1:19" x14ac:dyDescent="0.25">
      <c r="A270" s="59" t="s">
        <v>35</v>
      </c>
      <c r="B270" s="70">
        <v>1384.8</v>
      </c>
      <c r="C270" s="58"/>
      <c r="D270" s="58"/>
      <c r="E270" s="58">
        <f t="shared" si="68"/>
        <v>1384.8</v>
      </c>
      <c r="F270" s="138">
        <f t="shared" si="69"/>
        <v>1384.8</v>
      </c>
      <c r="G270" s="138">
        <v>0</v>
      </c>
      <c r="H270" s="138">
        <v>0</v>
      </c>
      <c r="I270" s="138">
        <v>0</v>
      </c>
      <c r="J270" s="138">
        <v>0</v>
      </c>
      <c r="K270" s="138">
        <v>1194.8</v>
      </c>
      <c r="L270" s="138">
        <v>0</v>
      </c>
      <c r="M270" s="138">
        <v>190</v>
      </c>
      <c r="N270" s="138">
        <v>0</v>
      </c>
      <c r="O270" s="138">
        <v>0</v>
      </c>
      <c r="P270" s="138">
        <v>0</v>
      </c>
      <c r="Q270" s="138">
        <v>0</v>
      </c>
      <c r="R270" s="138">
        <v>0</v>
      </c>
      <c r="S270" s="137"/>
    </row>
    <row r="271" spans="1:19" x14ac:dyDescent="0.25">
      <c r="A271" s="59" t="s">
        <v>5</v>
      </c>
      <c r="B271" s="70"/>
      <c r="C271" s="58"/>
      <c r="D271" s="58"/>
      <c r="E271" s="58">
        <f t="shared" ref="E271" si="70">+B271+C271+D271</f>
        <v>0</v>
      </c>
      <c r="F271" s="138">
        <f t="shared" si="67"/>
        <v>0</v>
      </c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7"/>
    </row>
    <row r="272" spans="1:19" x14ac:dyDescent="0.25"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7"/>
    </row>
    <row r="273" spans="1:19" ht="18.75" x14ac:dyDescent="0.4">
      <c r="A273" s="32" t="s">
        <v>111</v>
      </c>
      <c r="B273" s="40"/>
      <c r="C273" s="40"/>
      <c r="D273" s="40"/>
      <c r="E273" s="51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7"/>
    </row>
    <row r="274" spans="1:19" x14ac:dyDescent="0.25">
      <c r="A274" s="59"/>
      <c r="B274" s="58"/>
      <c r="C274" s="58"/>
      <c r="D274" s="58"/>
      <c r="E274" s="58">
        <f t="shared" ref="E274:E275" si="71">+B274+C274+D274</f>
        <v>0</v>
      </c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7"/>
    </row>
    <row r="275" spans="1:19" x14ac:dyDescent="0.25">
      <c r="A275" s="59"/>
      <c r="B275" s="58"/>
      <c r="C275" s="58"/>
      <c r="D275" s="58"/>
      <c r="E275" s="58">
        <f t="shared" si="71"/>
        <v>0</v>
      </c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7"/>
    </row>
    <row r="276" spans="1:19" ht="18.75" x14ac:dyDescent="0.4">
      <c r="A276" s="32" t="s">
        <v>112</v>
      </c>
      <c r="B276" s="40"/>
      <c r="C276" s="40"/>
      <c r="D276" s="40"/>
      <c r="E276" s="51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7"/>
    </row>
    <row r="277" spans="1:19" x14ac:dyDescent="0.25">
      <c r="A277" s="60" t="s">
        <v>120</v>
      </c>
      <c r="B277" s="58">
        <v>0</v>
      </c>
      <c r="C277" s="58"/>
      <c r="D277" s="58"/>
      <c r="E277" s="58">
        <f t="shared" ref="E277:E278" si="72">+B277+C277+D277</f>
        <v>0</v>
      </c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7"/>
    </row>
    <row r="278" spans="1:19" x14ac:dyDescent="0.25">
      <c r="A278" s="60" t="s">
        <v>121</v>
      </c>
      <c r="B278" s="61">
        <v>0</v>
      </c>
      <c r="C278" s="58"/>
      <c r="D278" s="58"/>
      <c r="E278" s="58">
        <f t="shared" si="72"/>
        <v>0</v>
      </c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7"/>
    </row>
    <row r="279" spans="1:19" ht="18.75" x14ac:dyDescent="0.4">
      <c r="A279" s="34" t="s">
        <v>113</v>
      </c>
      <c r="B279" s="40"/>
      <c r="C279" s="40"/>
      <c r="D279" s="40"/>
      <c r="E279" s="51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7"/>
    </row>
    <row r="280" spans="1:19" x14ac:dyDescent="0.25">
      <c r="A280" s="92" t="s">
        <v>136</v>
      </c>
      <c r="B280" s="58">
        <v>50111</v>
      </c>
      <c r="C280" s="58"/>
      <c r="D280" s="58"/>
      <c r="E280" s="58">
        <f t="shared" ref="E280" si="73">+B280+C280+D280</f>
        <v>50111</v>
      </c>
      <c r="F280" s="138">
        <f t="shared" ref="F280" si="74">SUM(G280:R280)</f>
        <v>50111</v>
      </c>
      <c r="G280" s="138">
        <v>0</v>
      </c>
      <c r="H280" s="138">
        <v>0</v>
      </c>
      <c r="I280" s="138">
        <v>0</v>
      </c>
      <c r="J280" s="138">
        <v>28999</v>
      </c>
      <c r="K280" s="138">
        <v>0</v>
      </c>
      <c r="L280" s="138">
        <v>0</v>
      </c>
      <c r="M280" s="138">
        <v>16240</v>
      </c>
      <c r="N280" s="138">
        <v>0</v>
      </c>
      <c r="O280" s="138">
        <v>4872</v>
      </c>
      <c r="P280" s="138">
        <v>0</v>
      </c>
      <c r="Q280" s="138">
        <v>0</v>
      </c>
      <c r="R280" s="138">
        <v>0</v>
      </c>
      <c r="S280" s="137"/>
    </row>
    <row r="281" spans="1:19" x14ac:dyDescent="0.25">
      <c r="A281" s="9"/>
      <c r="B281" s="40"/>
      <c r="C281" s="40"/>
      <c r="D281" s="40"/>
      <c r="E281" s="40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7"/>
    </row>
    <row r="282" spans="1:19" x14ac:dyDescent="0.25">
      <c r="A282" s="9"/>
      <c r="B282" s="40"/>
      <c r="C282" s="40"/>
      <c r="D282" s="40"/>
      <c r="E282" s="40"/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7"/>
    </row>
    <row r="283" spans="1:19" ht="18.75" x14ac:dyDescent="0.4">
      <c r="A283" s="169" t="s">
        <v>145</v>
      </c>
      <c r="B283" s="169"/>
      <c r="C283" s="169"/>
      <c r="D283" s="169"/>
      <c r="E283" s="169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7"/>
    </row>
    <row r="284" spans="1:19" ht="18.75" x14ac:dyDescent="0.4">
      <c r="A284" s="21"/>
      <c r="B284" s="43"/>
      <c r="C284" s="43"/>
      <c r="D284" s="43"/>
      <c r="E284" s="43"/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7"/>
    </row>
    <row r="285" spans="1:19" ht="30" x14ac:dyDescent="0.25">
      <c r="A285" s="33" t="s">
        <v>105</v>
      </c>
      <c r="B285" s="38" t="s">
        <v>106</v>
      </c>
      <c r="C285" s="38" t="s">
        <v>107</v>
      </c>
      <c r="D285" s="38" t="s">
        <v>108</v>
      </c>
      <c r="E285" s="38" t="s">
        <v>109</v>
      </c>
      <c r="F285" s="138"/>
      <c r="G285" s="38" t="s">
        <v>192</v>
      </c>
      <c r="H285" s="38" t="s">
        <v>193</v>
      </c>
      <c r="I285" s="38" t="s">
        <v>194</v>
      </c>
      <c r="J285" s="38" t="s">
        <v>195</v>
      </c>
      <c r="K285" s="38" t="s">
        <v>196</v>
      </c>
      <c r="L285" s="38" t="s">
        <v>197</v>
      </c>
      <c r="M285" s="38" t="s">
        <v>198</v>
      </c>
      <c r="N285" s="38" t="s">
        <v>199</v>
      </c>
      <c r="O285" s="38" t="s">
        <v>200</v>
      </c>
      <c r="P285" s="38" t="s">
        <v>201</v>
      </c>
      <c r="Q285" s="38" t="s">
        <v>202</v>
      </c>
      <c r="R285" s="38" t="s">
        <v>203</v>
      </c>
      <c r="S285" s="137"/>
    </row>
    <row r="286" spans="1:19" ht="18.75" x14ac:dyDescent="0.4">
      <c r="A286" s="32" t="s">
        <v>110</v>
      </c>
      <c r="B286" s="37">
        <f>SUM(B287:B299)</f>
        <v>30813</v>
      </c>
      <c r="C286" s="37">
        <f t="shared" ref="C286:E286" si="75">SUM(C287:C299)</f>
        <v>0</v>
      </c>
      <c r="D286" s="37">
        <f t="shared" si="75"/>
        <v>0</v>
      </c>
      <c r="E286" s="37">
        <f t="shared" si="75"/>
        <v>30813</v>
      </c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7"/>
    </row>
    <row r="287" spans="1:19" x14ac:dyDescent="0.25">
      <c r="A287" s="57" t="s">
        <v>1</v>
      </c>
      <c r="B287" s="67">
        <v>23784</v>
      </c>
      <c r="C287" s="58"/>
      <c r="D287" s="58"/>
      <c r="E287" s="58">
        <f>+B287+C287+D287</f>
        <v>23784</v>
      </c>
      <c r="F287" s="138">
        <f t="shared" ref="F287:F290" si="76">SUM(G287:R287)</f>
        <v>23784</v>
      </c>
      <c r="G287" s="138">
        <v>0</v>
      </c>
      <c r="H287" s="138">
        <v>0</v>
      </c>
      <c r="I287" s="138">
        <v>0</v>
      </c>
      <c r="J287" s="138">
        <v>0</v>
      </c>
      <c r="K287" s="138">
        <v>0</v>
      </c>
      <c r="L287" s="138">
        <v>0</v>
      </c>
      <c r="M287" s="138">
        <v>0</v>
      </c>
      <c r="N287" s="138">
        <v>0</v>
      </c>
      <c r="O287" s="138">
        <v>0</v>
      </c>
      <c r="P287" s="138">
        <v>12820</v>
      </c>
      <c r="Q287" s="138">
        <v>10964</v>
      </c>
      <c r="R287" s="138">
        <v>0</v>
      </c>
      <c r="S287" s="137"/>
    </row>
    <row r="288" spans="1:19" x14ac:dyDescent="0.25">
      <c r="A288" s="57" t="s">
        <v>19</v>
      </c>
      <c r="B288" s="70">
        <v>7029</v>
      </c>
      <c r="C288" s="58"/>
      <c r="D288" s="58"/>
      <c r="E288" s="58">
        <f t="shared" ref="E288:E290" si="77">+B288+C288+D288</f>
        <v>7029</v>
      </c>
      <c r="F288" s="138">
        <f t="shared" si="76"/>
        <v>7029</v>
      </c>
      <c r="G288" s="138">
        <v>0</v>
      </c>
      <c r="H288" s="138">
        <v>0</v>
      </c>
      <c r="I288" s="138">
        <v>0</v>
      </c>
      <c r="J288" s="138">
        <v>0</v>
      </c>
      <c r="K288" s="138">
        <v>0</v>
      </c>
      <c r="L288" s="138">
        <v>0</v>
      </c>
      <c r="M288" s="138">
        <v>0</v>
      </c>
      <c r="N288" s="138">
        <v>0</v>
      </c>
      <c r="O288" s="138">
        <v>0</v>
      </c>
      <c r="P288" s="138">
        <v>4210</v>
      </c>
      <c r="Q288" s="138">
        <v>2819</v>
      </c>
      <c r="R288" s="138">
        <v>0</v>
      </c>
      <c r="S288" s="137"/>
    </row>
    <row r="289" spans="1:34" x14ac:dyDescent="0.25">
      <c r="A289" s="57" t="s">
        <v>11</v>
      </c>
      <c r="B289" s="70">
        <v>0</v>
      </c>
      <c r="C289" s="58"/>
      <c r="D289" s="58"/>
      <c r="E289" s="58">
        <f t="shared" si="77"/>
        <v>0</v>
      </c>
      <c r="F289" s="138">
        <f t="shared" si="76"/>
        <v>0</v>
      </c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7"/>
    </row>
    <row r="290" spans="1:34" x14ac:dyDescent="0.25">
      <c r="A290" s="59" t="s">
        <v>5</v>
      </c>
      <c r="B290" s="70"/>
      <c r="C290" s="58"/>
      <c r="D290" s="58"/>
      <c r="E290" s="58">
        <f t="shared" si="77"/>
        <v>0</v>
      </c>
      <c r="F290" s="138">
        <f t="shared" si="76"/>
        <v>0</v>
      </c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7"/>
    </row>
    <row r="291" spans="1:34" x14ac:dyDescent="0.25"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7"/>
    </row>
    <row r="292" spans="1:34" ht="18.75" x14ac:dyDescent="0.4">
      <c r="A292" s="32" t="s">
        <v>111</v>
      </c>
      <c r="B292" s="40"/>
      <c r="C292" s="40"/>
      <c r="D292" s="40"/>
      <c r="E292" s="51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7"/>
    </row>
    <row r="293" spans="1:34" x14ac:dyDescent="0.25">
      <c r="A293" s="59"/>
      <c r="B293" s="58"/>
      <c r="C293" s="58"/>
      <c r="D293" s="58"/>
      <c r="E293" s="58">
        <f t="shared" ref="E293:E294" si="78">+B293+C293+D293</f>
        <v>0</v>
      </c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7"/>
    </row>
    <row r="294" spans="1:34" x14ac:dyDescent="0.25">
      <c r="A294" s="59"/>
      <c r="B294" s="58"/>
      <c r="C294" s="58"/>
      <c r="D294" s="58"/>
      <c r="E294" s="58">
        <f t="shared" si="78"/>
        <v>0</v>
      </c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7"/>
    </row>
    <row r="295" spans="1:34" ht="18.75" x14ac:dyDescent="0.4">
      <c r="A295" s="32" t="s">
        <v>112</v>
      </c>
      <c r="B295" s="40"/>
      <c r="C295" s="40"/>
      <c r="D295" s="40"/>
      <c r="E295" s="51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7"/>
    </row>
    <row r="296" spans="1:34" x14ac:dyDescent="0.25">
      <c r="A296" s="60" t="s">
        <v>120</v>
      </c>
      <c r="B296" s="58">
        <v>0</v>
      </c>
      <c r="C296" s="58"/>
      <c r="D296" s="58"/>
      <c r="E296" s="58">
        <f t="shared" ref="E296:E297" si="79">+B296+C296+D296</f>
        <v>0</v>
      </c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7"/>
    </row>
    <row r="297" spans="1:34" x14ac:dyDescent="0.25">
      <c r="A297" s="60" t="s">
        <v>121</v>
      </c>
      <c r="B297" s="61">
        <v>0</v>
      </c>
      <c r="C297" s="58"/>
      <c r="D297" s="58"/>
      <c r="E297" s="58">
        <f t="shared" si="79"/>
        <v>0</v>
      </c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7"/>
    </row>
    <row r="298" spans="1:34" ht="18.75" x14ac:dyDescent="0.4">
      <c r="A298" s="34" t="s">
        <v>113</v>
      </c>
      <c r="B298" s="40"/>
      <c r="C298" s="40"/>
      <c r="D298" s="40"/>
      <c r="E298" s="51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7"/>
    </row>
    <row r="299" spans="1:34" x14ac:dyDescent="0.25">
      <c r="A299" s="92" t="s">
        <v>136</v>
      </c>
      <c r="B299" s="58">
        <v>0</v>
      </c>
      <c r="C299" s="58"/>
      <c r="D299" s="58"/>
      <c r="E299" s="58">
        <f t="shared" ref="E299" si="80">+B299+C299+D299</f>
        <v>0</v>
      </c>
      <c r="F299" s="138">
        <f>+E299</f>
        <v>0</v>
      </c>
      <c r="G299" s="138">
        <f>+F299+F290</f>
        <v>0</v>
      </c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7"/>
    </row>
    <row r="300" spans="1:34" x14ac:dyDescent="0.25">
      <c r="A300" s="9"/>
      <c r="B300" s="40"/>
      <c r="C300" s="40"/>
      <c r="D300" s="40"/>
      <c r="E300" s="40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7"/>
    </row>
    <row r="301" spans="1:34" x14ac:dyDescent="0.25">
      <c r="A301" s="9"/>
      <c r="B301" s="40"/>
      <c r="C301" s="40"/>
      <c r="D301" s="40"/>
      <c r="E301" s="40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7"/>
    </row>
    <row r="302" spans="1:34" x14ac:dyDescent="0.25"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7"/>
    </row>
    <row r="303" spans="1:34" ht="15.75" x14ac:dyDescent="0.3">
      <c r="A303" s="171" t="s">
        <v>38</v>
      </c>
      <c r="B303" s="171"/>
      <c r="C303" s="171"/>
      <c r="D303" s="171"/>
      <c r="E303" s="171"/>
      <c r="F303" s="152"/>
      <c r="G303" s="152"/>
      <c r="H303" s="152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7"/>
    </row>
    <row r="304" spans="1:34" s="16" customFormat="1" ht="18.75" x14ac:dyDescent="0.4">
      <c r="A304" s="21"/>
      <c r="B304" s="43"/>
      <c r="C304" s="43"/>
      <c r="D304" s="43"/>
      <c r="E304" s="43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43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</row>
    <row r="305" spans="1:34" s="16" customFormat="1" ht="30" x14ac:dyDescent="0.4">
      <c r="A305" s="33" t="s">
        <v>105</v>
      </c>
      <c r="B305" s="38" t="s">
        <v>106</v>
      </c>
      <c r="C305" s="38" t="s">
        <v>107</v>
      </c>
      <c r="D305" s="38" t="s">
        <v>108</v>
      </c>
      <c r="E305" s="38" t="s">
        <v>109</v>
      </c>
      <c r="F305" s="154"/>
      <c r="G305" s="38" t="s">
        <v>192</v>
      </c>
      <c r="H305" s="38" t="s">
        <v>193</v>
      </c>
      <c r="I305" s="38" t="s">
        <v>194</v>
      </c>
      <c r="J305" s="38" t="s">
        <v>195</v>
      </c>
      <c r="K305" s="38" t="s">
        <v>196</v>
      </c>
      <c r="L305" s="38" t="s">
        <v>197</v>
      </c>
      <c r="M305" s="38" t="s">
        <v>198</v>
      </c>
      <c r="N305" s="38" t="s">
        <v>199</v>
      </c>
      <c r="O305" s="38" t="s">
        <v>200</v>
      </c>
      <c r="P305" s="38" t="s">
        <v>201</v>
      </c>
      <c r="Q305" s="38" t="s">
        <v>202</v>
      </c>
      <c r="R305" s="38" t="s">
        <v>203</v>
      </c>
      <c r="S305" s="143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</row>
    <row r="306" spans="1:34" s="16" customFormat="1" ht="18.75" x14ac:dyDescent="0.4">
      <c r="A306" s="32" t="s">
        <v>110</v>
      </c>
      <c r="B306" s="37">
        <f>SUM(B307:B327)</f>
        <v>190492.5</v>
      </c>
      <c r="C306" s="37">
        <f t="shared" ref="C306:E306" si="81">SUM(C307:C327)</f>
        <v>0</v>
      </c>
      <c r="D306" s="37">
        <f t="shared" si="81"/>
        <v>0</v>
      </c>
      <c r="E306" s="37">
        <f t="shared" si="81"/>
        <v>190492.5</v>
      </c>
      <c r="F306" s="154">
        <f>+E307-F307</f>
        <v>0</v>
      </c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43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</row>
    <row r="307" spans="1:34" s="3" customFormat="1" ht="11.25" customHeight="1" x14ac:dyDescent="0.15">
      <c r="A307" s="59" t="s">
        <v>1</v>
      </c>
      <c r="B307" s="58">
        <f>685.78+15680.66</f>
        <v>16366.44</v>
      </c>
      <c r="C307" s="58"/>
      <c r="D307" s="58"/>
      <c r="E307" s="58">
        <f t="shared" ref="E307:E317" si="82">+B307+C307+D307</f>
        <v>16366.44</v>
      </c>
      <c r="F307" s="138">
        <f>SUM(G307:R307)</f>
        <v>16366.439999999999</v>
      </c>
      <c r="G307" s="146">
        <v>0</v>
      </c>
      <c r="H307" s="146">
        <v>0</v>
      </c>
      <c r="I307" s="146">
        <v>0</v>
      </c>
      <c r="J307" s="146">
        <v>0</v>
      </c>
      <c r="K307" s="146">
        <v>10685.78</v>
      </c>
      <c r="L307" s="146">
        <v>0</v>
      </c>
      <c r="M307" s="146">
        <v>470.98</v>
      </c>
      <c r="N307" s="146">
        <v>440.8</v>
      </c>
      <c r="O307" s="146">
        <v>4328.08</v>
      </c>
      <c r="P307" s="146">
        <v>440.8</v>
      </c>
      <c r="Q307" s="146">
        <v>0</v>
      </c>
      <c r="R307" s="146">
        <v>0</v>
      </c>
      <c r="S307" s="139"/>
      <c r="U307" s="4"/>
      <c r="W307" s="4"/>
      <c r="Y307" s="4"/>
      <c r="AA307" s="4"/>
      <c r="AC307" s="4"/>
      <c r="AE307" s="4"/>
      <c r="AG307" s="4"/>
    </row>
    <row r="308" spans="1:34" s="3" customFormat="1" ht="11.25" customHeight="1" x14ac:dyDescent="0.15">
      <c r="A308" s="59" t="s">
        <v>2</v>
      </c>
      <c r="B308" s="77">
        <v>156.65</v>
      </c>
      <c r="C308" s="52"/>
      <c r="D308" s="58"/>
      <c r="E308" s="58">
        <f t="shared" si="82"/>
        <v>156.65</v>
      </c>
      <c r="F308" s="138">
        <f t="shared" ref="F308:F318" si="83">SUM(G308:R308)</f>
        <v>156.65</v>
      </c>
      <c r="G308" s="146">
        <v>0</v>
      </c>
      <c r="H308" s="146">
        <v>0</v>
      </c>
      <c r="I308" s="146">
        <v>0</v>
      </c>
      <c r="J308" s="146">
        <v>0</v>
      </c>
      <c r="K308" s="146">
        <v>156.65</v>
      </c>
      <c r="L308" s="146">
        <v>0</v>
      </c>
      <c r="M308" s="146">
        <v>0</v>
      </c>
      <c r="N308" s="146">
        <v>0</v>
      </c>
      <c r="O308" s="146">
        <v>0</v>
      </c>
      <c r="P308" s="146">
        <v>0</v>
      </c>
      <c r="Q308" s="146">
        <v>0</v>
      </c>
      <c r="R308" s="146">
        <v>0</v>
      </c>
      <c r="S308" s="140"/>
      <c r="T308" s="7"/>
      <c r="U308" s="8"/>
      <c r="V308" s="7"/>
      <c r="W308" s="8"/>
      <c r="X308" s="7"/>
      <c r="Y308" s="8"/>
      <c r="Z308" s="7"/>
      <c r="AA308" s="8"/>
      <c r="AB308" s="7"/>
      <c r="AC308" s="8"/>
      <c r="AD308" s="7"/>
      <c r="AE308" s="8"/>
      <c r="AF308" s="7"/>
      <c r="AG308" s="8"/>
      <c r="AH308" s="7"/>
    </row>
    <row r="309" spans="1:34" s="3" customFormat="1" ht="11.25" customHeight="1" x14ac:dyDescent="0.15">
      <c r="A309" s="59" t="s">
        <v>3</v>
      </c>
      <c r="B309" s="77">
        <v>0</v>
      </c>
      <c r="C309" s="52"/>
      <c r="D309" s="58"/>
      <c r="E309" s="58">
        <f t="shared" si="82"/>
        <v>0</v>
      </c>
      <c r="F309" s="138">
        <f t="shared" si="83"/>
        <v>0</v>
      </c>
      <c r="G309" s="146">
        <v>0</v>
      </c>
      <c r="H309" s="146">
        <v>0</v>
      </c>
      <c r="I309" s="146">
        <v>0</v>
      </c>
      <c r="J309" s="146">
        <v>0</v>
      </c>
      <c r="K309" s="146">
        <v>0</v>
      </c>
      <c r="L309" s="146">
        <v>0</v>
      </c>
      <c r="M309" s="146">
        <v>0</v>
      </c>
      <c r="N309" s="146">
        <v>0</v>
      </c>
      <c r="O309" s="146">
        <v>0</v>
      </c>
      <c r="P309" s="146">
        <v>0</v>
      </c>
      <c r="Q309" s="146">
        <v>0</v>
      </c>
      <c r="R309" s="146">
        <v>0</v>
      </c>
      <c r="S309" s="140"/>
      <c r="T309" s="7"/>
      <c r="U309" s="8"/>
      <c r="V309" s="7"/>
      <c r="W309" s="8"/>
      <c r="X309" s="7"/>
      <c r="Y309" s="8"/>
      <c r="Z309" s="7"/>
      <c r="AA309" s="8"/>
      <c r="AB309" s="7"/>
      <c r="AC309" s="8"/>
      <c r="AD309" s="7"/>
      <c r="AE309" s="8"/>
      <c r="AF309" s="7"/>
      <c r="AG309" s="8"/>
      <c r="AH309" s="7"/>
    </row>
    <row r="310" spans="1:34" x14ac:dyDescent="0.25">
      <c r="A310" s="59" t="s">
        <v>39</v>
      </c>
      <c r="B310" s="58">
        <v>35600.400000000001</v>
      </c>
      <c r="C310" s="58"/>
      <c r="D310" s="58"/>
      <c r="E310" s="58">
        <f t="shared" si="82"/>
        <v>35600.400000000001</v>
      </c>
      <c r="F310" s="138">
        <f t="shared" si="83"/>
        <v>35600.400000000001</v>
      </c>
      <c r="G310" s="146">
        <v>0</v>
      </c>
      <c r="H310" s="146">
        <v>0</v>
      </c>
      <c r="I310" s="146">
        <v>0</v>
      </c>
      <c r="J310" s="146">
        <v>0</v>
      </c>
      <c r="K310" s="146">
        <v>0</v>
      </c>
      <c r="L310" s="146">
        <v>0</v>
      </c>
      <c r="M310" s="146">
        <v>0</v>
      </c>
      <c r="N310" s="138">
        <v>35600.400000000001</v>
      </c>
      <c r="O310" s="146">
        <v>0</v>
      </c>
      <c r="P310" s="146">
        <v>0</v>
      </c>
      <c r="Q310" s="146">
        <v>0</v>
      </c>
      <c r="R310" s="146">
        <v>0</v>
      </c>
      <c r="S310" s="137"/>
    </row>
    <row r="311" spans="1:34" x14ac:dyDescent="0.25">
      <c r="A311" s="59" t="s">
        <v>18</v>
      </c>
      <c r="B311" s="58">
        <v>184</v>
      </c>
      <c r="C311" s="58"/>
      <c r="D311" s="58"/>
      <c r="E311" s="58">
        <f t="shared" si="82"/>
        <v>184</v>
      </c>
      <c r="F311" s="138">
        <f t="shared" si="83"/>
        <v>184.88</v>
      </c>
      <c r="G311" s="146">
        <v>0</v>
      </c>
      <c r="H311" s="146">
        <v>0</v>
      </c>
      <c r="I311" s="146">
        <v>0</v>
      </c>
      <c r="J311" s="146">
        <v>0</v>
      </c>
      <c r="K311" s="138">
        <v>184.88</v>
      </c>
      <c r="L311" s="146">
        <v>0</v>
      </c>
      <c r="M311" s="146">
        <v>0</v>
      </c>
      <c r="N311" s="146">
        <v>0</v>
      </c>
      <c r="O311" s="146">
        <v>0</v>
      </c>
      <c r="P311" s="146">
        <v>0</v>
      </c>
      <c r="Q311" s="146">
        <v>0</v>
      </c>
      <c r="R311" s="146">
        <v>0</v>
      </c>
      <c r="S311" s="137"/>
    </row>
    <row r="312" spans="1:34" x14ac:dyDescent="0.25">
      <c r="A312" s="59" t="s">
        <v>224</v>
      </c>
      <c r="B312" s="58">
        <v>3202</v>
      </c>
      <c r="C312" s="58"/>
      <c r="D312" s="58"/>
      <c r="E312" s="58">
        <f t="shared" si="82"/>
        <v>3202</v>
      </c>
      <c r="F312" s="138">
        <f t="shared" si="83"/>
        <v>3202</v>
      </c>
      <c r="G312" s="146">
        <v>0</v>
      </c>
      <c r="H312" s="146">
        <v>0</v>
      </c>
      <c r="I312" s="146">
        <v>0</v>
      </c>
      <c r="J312" s="146">
        <v>0</v>
      </c>
      <c r="K312" s="146">
        <v>0</v>
      </c>
      <c r="L312" s="138">
        <v>3202</v>
      </c>
      <c r="M312" s="146">
        <v>0</v>
      </c>
      <c r="N312" s="146">
        <v>0</v>
      </c>
      <c r="O312" s="146">
        <v>0</v>
      </c>
      <c r="P312" s="146">
        <v>0</v>
      </c>
      <c r="Q312" s="146">
        <v>0</v>
      </c>
      <c r="R312" s="146">
        <v>0</v>
      </c>
      <c r="S312" s="137"/>
    </row>
    <row r="313" spans="1:34" x14ac:dyDescent="0.25">
      <c r="A313" s="59" t="s">
        <v>225</v>
      </c>
      <c r="B313" s="58">
        <v>2582.62</v>
      </c>
      <c r="C313" s="58"/>
      <c r="D313" s="58"/>
      <c r="E313" s="58">
        <f t="shared" si="82"/>
        <v>2582.62</v>
      </c>
      <c r="F313" s="138">
        <f t="shared" si="83"/>
        <v>2582.62</v>
      </c>
      <c r="G313" s="146">
        <v>0</v>
      </c>
      <c r="H313" s="146">
        <v>0</v>
      </c>
      <c r="I313" s="146">
        <v>0</v>
      </c>
      <c r="J313" s="146">
        <v>0</v>
      </c>
      <c r="K313" s="146">
        <v>0</v>
      </c>
      <c r="L313" s="138">
        <v>2582.62</v>
      </c>
      <c r="M313" s="146">
        <v>0</v>
      </c>
      <c r="N313" s="146">
        <v>0</v>
      </c>
      <c r="O313" s="146">
        <v>0</v>
      </c>
      <c r="P313" s="146">
        <v>0</v>
      </c>
      <c r="Q313" s="146">
        <v>0</v>
      </c>
      <c r="R313" s="146">
        <v>0</v>
      </c>
      <c r="S313" s="137"/>
    </row>
    <row r="314" spans="1:34" x14ac:dyDescent="0.25">
      <c r="A314" s="59" t="s">
        <v>204</v>
      </c>
      <c r="B314" s="58">
        <v>4951.8100000000004</v>
      </c>
      <c r="C314" s="58"/>
      <c r="D314" s="58"/>
      <c r="E314" s="58">
        <f t="shared" si="82"/>
        <v>4951.8100000000004</v>
      </c>
      <c r="F314" s="138">
        <f t="shared" si="83"/>
        <v>4951.8100000000004</v>
      </c>
      <c r="G314" s="146">
        <v>0</v>
      </c>
      <c r="H314" s="146">
        <v>0</v>
      </c>
      <c r="I314" s="146">
        <v>0</v>
      </c>
      <c r="J314" s="146">
        <v>0</v>
      </c>
      <c r="K314" s="138">
        <v>0</v>
      </c>
      <c r="L314" s="146">
        <v>0</v>
      </c>
      <c r="M314" s="138">
        <v>4951.8100000000004</v>
      </c>
      <c r="N314" s="146">
        <v>0</v>
      </c>
      <c r="O314" s="146">
        <v>0</v>
      </c>
      <c r="P314" s="146">
        <v>0</v>
      </c>
      <c r="Q314" s="146">
        <v>0</v>
      </c>
      <c r="R314" s="146">
        <v>0</v>
      </c>
      <c r="S314" s="137"/>
    </row>
    <row r="315" spans="1:34" x14ac:dyDescent="0.25">
      <c r="A315" s="59" t="s">
        <v>10</v>
      </c>
      <c r="B315" s="58">
        <v>124826.8</v>
      </c>
      <c r="C315" s="58"/>
      <c r="D315" s="58"/>
      <c r="E315" s="58">
        <f t="shared" si="82"/>
        <v>124826.8</v>
      </c>
      <c r="F315" s="138">
        <f t="shared" si="83"/>
        <v>124826.8</v>
      </c>
      <c r="G315" s="146">
        <v>0</v>
      </c>
      <c r="H315" s="146">
        <v>0</v>
      </c>
      <c r="I315" s="146">
        <v>0</v>
      </c>
      <c r="J315" s="146">
        <v>0</v>
      </c>
      <c r="K315" s="138">
        <f>18208.8+7256.52</f>
        <v>25465.32</v>
      </c>
      <c r="L315" s="138">
        <f>15174-6856.52</f>
        <v>8317.48</v>
      </c>
      <c r="M315" s="138">
        <v>30348</v>
      </c>
      <c r="N315" s="138">
        <v>15174</v>
      </c>
      <c r="O315" s="138">
        <v>15424</v>
      </c>
      <c r="P315" s="138">
        <v>0</v>
      </c>
      <c r="Q315" s="138">
        <v>15174</v>
      </c>
      <c r="R315" s="138">
        <v>14924</v>
      </c>
      <c r="S315" s="137"/>
    </row>
    <row r="316" spans="1:34" x14ac:dyDescent="0.25">
      <c r="A316" s="59" t="s">
        <v>11</v>
      </c>
      <c r="B316" s="58">
        <v>1176.5</v>
      </c>
      <c r="C316" s="58"/>
      <c r="D316" s="58"/>
      <c r="E316" s="58">
        <f t="shared" si="82"/>
        <v>1176.5</v>
      </c>
      <c r="F316" s="138">
        <f t="shared" si="83"/>
        <v>1176.5</v>
      </c>
      <c r="G316" s="146">
        <v>0</v>
      </c>
      <c r="H316" s="146">
        <v>0</v>
      </c>
      <c r="I316" s="146">
        <v>0</v>
      </c>
      <c r="J316" s="146">
        <v>0</v>
      </c>
      <c r="K316" s="138">
        <f>841+335.5</f>
        <v>1176.5</v>
      </c>
      <c r="L316" s="146">
        <v>0</v>
      </c>
      <c r="M316" s="146">
        <v>0</v>
      </c>
      <c r="N316" s="146">
        <v>0</v>
      </c>
      <c r="O316" s="146">
        <v>0</v>
      </c>
      <c r="P316" s="146">
        <v>0</v>
      </c>
      <c r="Q316" s="146">
        <v>0</v>
      </c>
      <c r="R316" s="146">
        <v>0</v>
      </c>
      <c r="S316" s="137"/>
    </row>
    <row r="317" spans="1:34" x14ac:dyDescent="0.25">
      <c r="A317" s="59" t="s">
        <v>40</v>
      </c>
      <c r="B317" s="58">
        <v>0</v>
      </c>
      <c r="C317" s="58"/>
      <c r="D317" s="58"/>
      <c r="E317" s="58">
        <f t="shared" si="82"/>
        <v>0</v>
      </c>
      <c r="F317" s="138">
        <f t="shared" si="83"/>
        <v>0</v>
      </c>
      <c r="G317" s="146">
        <v>0</v>
      </c>
      <c r="H317" s="146">
        <v>0</v>
      </c>
      <c r="I317" s="146">
        <v>0</v>
      </c>
      <c r="J317" s="146">
        <v>0</v>
      </c>
      <c r="K317" s="146">
        <v>0</v>
      </c>
      <c r="L317" s="146">
        <v>0</v>
      </c>
      <c r="M317" s="146">
        <v>0</v>
      </c>
      <c r="N317" s="146">
        <v>0</v>
      </c>
      <c r="O317" s="146">
        <v>0</v>
      </c>
      <c r="P317" s="146">
        <v>0</v>
      </c>
      <c r="Q317" s="146">
        <v>0</v>
      </c>
      <c r="R317" s="146">
        <v>0</v>
      </c>
      <c r="S317" s="137"/>
    </row>
    <row r="318" spans="1:34" x14ac:dyDescent="0.25">
      <c r="A318" s="59" t="s">
        <v>226</v>
      </c>
      <c r="B318" s="58">
        <v>1445.28</v>
      </c>
      <c r="C318" s="58"/>
      <c r="D318" s="58"/>
      <c r="E318" s="58">
        <f t="shared" ref="E318" si="84">+B318+C318+D318</f>
        <v>1445.28</v>
      </c>
      <c r="F318" s="138">
        <f t="shared" si="83"/>
        <v>1445.28</v>
      </c>
      <c r="G318" s="146">
        <v>0</v>
      </c>
      <c r="H318" s="146">
        <v>0</v>
      </c>
      <c r="I318" s="146">
        <v>0</v>
      </c>
      <c r="J318" s="138">
        <v>92.8</v>
      </c>
      <c r="K318" s="138">
        <v>902.48</v>
      </c>
      <c r="L318" s="146">
        <v>0</v>
      </c>
      <c r="M318" s="146">
        <v>0</v>
      </c>
      <c r="N318" s="146">
        <v>0</v>
      </c>
      <c r="O318" s="138">
        <v>450</v>
      </c>
      <c r="P318" s="146">
        <v>0</v>
      </c>
      <c r="Q318" s="146">
        <v>0</v>
      </c>
      <c r="R318" s="146">
        <v>0</v>
      </c>
      <c r="S318" s="137"/>
    </row>
    <row r="319" spans="1:34" s="22" customFormat="1" x14ac:dyDescent="0.25">
      <c r="B319" s="44"/>
      <c r="C319" s="44"/>
      <c r="D319" s="44"/>
      <c r="E319" s="44"/>
      <c r="F319" s="138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44"/>
    </row>
    <row r="320" spans="1:34" s="22" customFormat="1" ht="18.75" x14ac:dyDescent="0.4">
      <c r="A320" s="32" t="s">
        <v>111</v>
      </c>
      <c r="B320" s="40"/>
      <c r="C320" s="40"/>
      <c r="D320" s="40"/>
      <c r="E320" s="51"/>
      <c r="F320" s="155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44"/>
    </row>
    <row r="321" spans="1:34" s="22" customFormat="1" x14ac:dyDescent="0.25">
      <c r="A321" s="59"/>
      <c r="B321" s="58"/>
      <c r="C321" s="58"/>
      <c r="D321" s="58"/>
      <c r="E321" s="58">
        <f t="shared" ref="E321:E322" si="85">+B321+C321+D321</f>
        <v>0</v>
      </c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44"/>
    </row>
    <row r="322" spans="1:34" s="22" customFormat="1" x14ac:dyDescent="0.25">
      <c r="A322" s="59"/>
      <c r="B322" s="58"/>
      <c r="C322" s="58"/>
      <c r="D322" s="58"/>
      <c r="E322" s="58">
        <f t="shared" si="85"/>
        <v>0</v>
      </c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44"/>
    </row>
    <row r="323" spans="1:34" s="22" customFormat="1" ht="18.75" x14ac:dyDescent="0.4">
      <c r="A323" s="32" t="s">
        <v>112</v>
      </c>
      <c r="B323" s="40"/>
      <c r="C323" s="40"/>
      <c r="D323" s="40"/>
      <c r="E323" s="51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44"/>
    </row>
    <row r="324" spans="1:34" s="22" customFormat="1" x14ac:dyDescent="0.25">
      <c r="A324" s="60" t="s">
        <v>120</v>
      </c>
      <c r="B324" s="58">
        <v>0</v>
      </c>
      <c r="C324" s="58"/>
      <c r="D324" s="58"/>
      <c r="E324" s="58">
        <f t="shared" ref="E324:E325" si="86">+B324+C324+D324</f>
        <v>0</v>
      </c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44"/>
    </row>
    <row r="325" spans="1:34" s="22" customFormat="1" x14ac:dyDescent="0.25">
      <c r="A325" s="60" t="s">
        <v>121</v>
      </c>
      <c r="B325" s="61">
        <v>0</v>
      </c>
      <c r="C325" s="58"/>
      <c r="D325" s="58"/>
      <c r="E325" s="58">
        <f t="shared" si="86"/>
        <v>0</v>
      </c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44"/>
    </row>
    <row r="326" spans="1:34" s="22" customFormat="1" ht="18.75" x14ac:dyDescent="0.4">
      <c r="A326" s="34" t="s">
        <v>113</v>
      </c>
      <c r="B326" s="40"/>
      <c r="C326" s="40"/>
      <c r="D326" s="40"/>
      <c r="E326" s="51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44"/>
    </row>
    <row r="327" spans="1:34" s="22" customFormat="1" x14ac:dyDescent="0.25">
      <c r="A327" s="59"/>
      <c r="B327" s="58"/>
      <c r="C327" s="58"/>
      <c r="D327" s="58"/>
      <c r="E327" s="58">
        <f t="shared" ref="E327" si="87">+B327+C327+D327</f>
        <v>0</v>
      </c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44"/>
    </row>
    <row r="328" spans="1:34" s="22" customFormat="1" x14ac:dyDescent="0.25">
      <c r="B328" s="44"/>
      <c r="C328" s="44"/>
      <c r="D328" s="44"/>
      <c r="E328" s="44"/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44"/>
    </row>
    <row r="329" spans="1:34" ht="18.75" x14ac:dyDescent="0.4">
      <c r="A329" s="168" t="s">
        <v>123</v>
      </c>
      <c r="B329" s="168"/>
      <c r="C329" s="168"/>
      <c r="D329" s="168"/>
      <c r="E329" s="168"/>
      <c r="F329" s="152"/>
      <c r="G329" s="152"/>
      <c r="H329" s="152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7"/>
    </row>
    <row r="330" spans="1:34" s="16" customFormat="1" ht="18.75" x14ac:dyDescent="0.4">
      <c r="A330" s="21"/>
      <c r="B330" s="43"/>
      <c r="C330" s="43"/>
      <c r="D330" s="43"/>
      <c r="E330" s="43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43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</row>
    <row r="331" spans="1:34" s="16" customFormat="1" ht="30" x14ac:dyDescent="0.4">
      <c r="A331" s="33" t="s">
        <v>105</v>
      </c>
      <c r="B331" s="38" t="s">
        <v>106</v>
      </c>
      <c r="C331" s="38" t="s">
        <v>107</v>
      </c>
      <c r="D331" s="38" t="s">
        <v>108</v>
      </c>
      <c r="E331" s="38" t="s">
        <v>109</v>
      </c>
      <c r="F331" s="154"/>
      <c r="G331" s="38" t="s">
        <v>192</v>
      </c>
      <c r="H331" s="38" t="s">
        <v>193</v>
      </c>
      <c r="I331" s="38" t="s">
        <v>194</v>
      </c>
      <c r="J331" s="38" t="s">
        <v>195</v>
      </c>
      <c r="K331" s="38" t="s">
        <v>196</v>
      </c>
      <c r="L331" s="38" t="s">
        <v>197</v>
      </c>
      <c r="M331" s="38" t="s">
        <v>198</v>
      </c>
      <c r="N331" s="38" t="s">
        <v>199</v>
      </c>
      <c r="O331" s="38" t="s">
        <v>200</v>
      </c>
      <c r="P331" s="38" t="s">
        <v>201</v>
      </c>
      <c r="Q331" s="38" t="s">
        <v>202</v>
      </c>
      <c r="R331" s="38" t="s">
        <v>203</v>
      </c>
      <c r="S331" s="143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</row>
    <row r="332" spans="1:34" s="16" customFormat="1" ht="18.75" x14ac:dyDescent="0.4">
      <c r="A332" s="32" t="s">
        <v>110</v>
      </c>
      <c r="B332" s="37">
        <f>SUM(B333:B347)</f>
        <v>49422</v>
      </c>
      <c r="C332" s="37">
        <f t="shared" ref="C332:E332" si="88">SUM(C333:C347)</f>
        <v>0</v>
      </c>
      <c r="D332" s="37">
        <f t="shared" si="88"/>
        <v>0</v>
      </c>
      <c r="E332" s="37">
        <f t="shared" si="88"/>
        <v>49422</v>
      </c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43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</row>
    <row r="333" spans="1:34" s="3" customFormat="1" ht="11.25" customHeight="1" x14ac:dyDescent="0.15">
      <c r="A333" s="59" t="s">
        <v>1</v>
      </c>
      <c r="B333" s="58">
        <v>5300</v>
      </c>
      <c r="C333" s="58"/>
      <c r="D333" s="58"/>
      <c r="E333" s="58">
        <f t="shared" ref="E333:E338" si="89">+B333+C333+D333</f>
        <v>5300</v>
      </c>
      <c r="F333" s="138">
        <f t="shared" ref="F333:F338" si="90">SUM(G333:R333)</f>
        <v>7360.9</v>
      </c>
      <c r="G333" s="138">
        <v>0</v>
      </c>
      <c r="H333" s="138">
        <v>0</v>
      </c>
      <c r="I333" s="138">
        <v>0</v>
      </c>
      <c r="J333" s="138">
        <v>0</v>
      </c>
      <c r="K333" s="138">
        <v>6000</v>
      </c>
      <c r="L333" s="138">
        <v>0</v>
      </c>
      <c r="M333" s="138">
        <v>0</v>
      </c>
      <c r="N333" s="138">
        <v>0</v>
      </c>
      <c r="O333" s="138">
        <v>1360.9</v>
      </c>
      <c r="P333" s="138">
        <v>0</v>
      </c>
      <c r="Q333" s="138">
        <v>0</v>
      </c>
      <c r="R333" s="138">
        <v>0</v>
      </c>
      <c r="S333" s="139"/>
      <c r="U333" s="4"/>
      <c r="W333" s="4"/>
      <c r="Y333" s="4"/>
      <c r="AA333" s="4"/>
      <c r="AC333" s="4"/>
      <c r="AE333" s="4"/>
      <c r="AG333" s="4"/>
    </row>
    <row r="334" spans="1:34" x14ac:dyDescent="0.25">
      <c r="A334" s="59" t="s">
        <v>39</v>
      </c>
      <c r="B334" s="58">
        <v>10000</v>
      </c>
      <c r="C334" s="58"/>
      <c r="D334" s="58"/>
      <c r="E334" s="58">
        <f t="shared" si="89"/>
        <v>10000</v>
      </c>
      <c r="F334" s="138">
        <f t="shared" si="90"/>
        <v>18429.7</v>
      </c>
      <c r="G334" s="138">
        <v>0</v>
      </c>
      <c r="H334" s="138">
        <v>0</v>
      </c>
      <c r="I334" s="138">
        <v>0</v>
      </c>
      <c r="J334" s="138">
        <v>0</v>
      </c>
      <c r="K334" s="138">
        <v>0</v>
      </c>
      <c r="L334" s="138">
        <v>0</v>
      </c>
      <c r="M334" s="138">
        <v>11637.7</v>
      </c>
      <c r="N334" s="138">
        <v>6792</v>
      </c>
      <c r="O334" s="138">
        <v>0</v>
      </c>
      <c r="P334" s="138">
        <v>0</v>
      </c>
      <c r="Q334" s="138">
        <v>0</v>
      </c>
      <c r="R334" s="138">
        <v>0</v>
      </c>
      <c r="S334" s="137"/>
    </row>
    <row r="335" spans="1:34" x14ac:dyDescent="0.25">
      <c r="A335" s="59" t="s">
        <v>19</v>
      </c>
      <c r="B335" s="58">
        <v>600</v>
      </c>
      <c r="C335" s="58"/>
      <c r="D335" s="58"/>
      <c r="E335" s="58">
        <f t="shared" si="89"/>
        <v>600</v>
      </c>
      <c r="F335" s="138">
        <f t="shared" si="90"/>
        <v>1000</v>
      </c>
      <c r="G335" s="138">
        <v>0</v>
      </c>
      <c r="H335" s="138">
        <v>0</v>
      </c>
      <c r="I335" s="138">
        <v>0</v>
      </c>
      <c r="J335" s="138">
        <v>0</v>
      </c>
      <c r="K335" s="138">
        <v>1000</v>
      </c>
      <c r="L335" s="138">
        <v>0</v>
      </c>
      <c r="M335" s="138">
        <v>0</v>
      </c>
      <c r="N335" s="138">
        <v>0</v>
      </c>
      <c r="O335" s="138">
        <v>0</v>
      </c>
      <c r="P335" s="138">
        <v>0</v>
      </c>
      <c r="Q335" s="138">
        <v>0</v>
      </c>
      <c r="R335" s="138">
        <v>0</v>
      </c>
      <c r="S335" s="137"/>
    </row>
    <row r="336" spans="1:34" x14ac:dyDescent="0.25">
      <c r="A336" s="59" t="s">
        <v>10</v>
      </c>
      <c r="B336" s="58">
        <v>15000</v>
      </c>
      <c r="C336" s="58"/>
      <c r="D336" s="58"/>
      <c r="E336" s="58">
        <f t="shared" si="89"/>
        <v>15000</v>
      </c>
      <c r="F336" s="138">
        <f t="shared" si="90"/>
        <v>690</v>
      </c>
      <c r="G336" s="138">
        <v>0</v>
      </c>
      <c r="H336" s="138">
        <v>0</v>
      </c>
      <c r="I336" s="138">
        <v>0</v>
      </c>
      <c r="J336" s="138">
        <v>0</v>
      </c>
      <c r="K336" s="138">
        <v>690</v>
      </c>
      <c r="L336" s="138">
        <v>0</v>
      </c>
      <c r="M336" s="138">
        <v>0</v>
      </c>
      <c r="N336" s="138">
        <v>0</v>
      </c>
      <c r="O336" s="138">
        <v>0</v>
      </c>
      <c r="P336" s="138">
        <v>0</v>
      </c>
      <c r="Q336" s="138">
        <v>0</v>
      </c>
      <c r="R336" s="138">
        <v>0</v>
      </c>
      <c r="S336" s="137"/>
    </row>
    <row r="337" spans="1:34" x14ac:dyDescent="0.25">
      <c r="A337" s="59" t="s">
        <v>11</v>
      </c>
      <c r="B337" s="58">
        <v>3800</v>
      </c>
      <c r="C337" s="58"/>
      <c r="D337" s="58"/>
      <c r="E337" s="58">
        <f t="shared" si="89"/>
        <v>3800</v>
      </c>
      <c r="F337" s="138">
        <f t="shared" si="90"/>
        <v>200</v>
      </c>
      <c r="G337" s="138">
        <v>0</v>
      </c>
      <c r="H337" s="138">
        <v>0</v>
      </c>
      <c r="I337" s="138">
        <v>0</v>
      </c>
      <c r="J337" s="138">
        <v>0</v>
      </c>
      <c r="K337" s="138">
        <v>200</v>
      </c>
      <c r="L337" s="138">
        <v>0</v>
      </c>
      <c r="M337" s="138">
        <v>0</v>
      </c>
      <c r="N337" s="138">
        <v>0</v>
      </c>
      <c r="O337" s="138">
        <v>0</v>
      </c>
      <c r="P337" s="138">
        <v>0</v>
      </c>
      <c r="Q337" s="138">
        <v>0</v>
      </c>
      <c r="R337" s="138">
        <v>0</v>
      </c>
      <c r="S337" s="137"/>
    </row>
    <row r="338" spans="1:34" x14ac:dyDescent="0.25">
      <c r="A338" s="117" t="s">
        <v>171</v>
      </c>
      <c r="B338" s="58">
        <v>14722</v>
      </c>
      <c r="C338" s="63"/>
      <c r="D338" s="58"/>
      <c r="E338" s="58">
        <f t="shared" si="89"/>
        <v>14722</v>
      </c>
      <c r="F338" s="138">
        <f t="shared" si="90"/>
        <v>632</v>
      </c>
      <c r="G338" s="138">
        <v>0</v>
      </c>
      <c r="H338" s="138">
        <v>0</v>
      </c>
      <c r="I338" s="138">
        <v>0</v>
      </c>
      <c r="J338" s="138">
        <v>0</v>
      </c>
      <c r="K338" s="138">
        <v>632</v>
      </c>
      <c r="L338" s="138">
        <v>0</v>
      </c>
      <c r="M338" s="138">
        <v>0</v>
      </c>
      <c r="N338" s="138">
        <v>0</v>
      </c>
      <c r="O338" s="138">
        <v>0</v>
      </c>
      <c r="P338" s="138">
        <v>0</v>
      </c>
      <c r="Q338" s="138">
        <v>0</v>
      </c>
      <c r="R338" s="138">
        <v>0</v>
      </c>
      <c r="S338" s="137"/>
    </row>
    <row r="339" spans="1:34" x14ac:dyDescent="0.25">
      <c r="A339" s="9"/>
      <c r="B339" s="40"/>
      <c r="C339" s="40"/>
      <c r="D339" s="40"/>
      <c r="E339" s="51"/>
      <c r="F339" s="138" t="s">
        <v>75</v>
      </c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7"/>
    </row>
    <row r="340" spans="1:34" ht="18.75" x14ac:dyDescent="0.4">
      <c r="A340" s="32" t="s">
        <v>111</v>
      </c>
      <c r="B340" s="40"/>
      <c r="C340" s="40"/>
      <c r="D340" s="40"/>
      <c r="E340" s="51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7"/>
    </row>
    <row r="341" spans="1:34" x14ac:dyDescent="0.25">
      <c r="A341" s="59"/>
      <c r="B341" s="58"/>
      <c r="C341" s="58"/>
      <c r="D341" s="58"/>
      <c r="E341" s="58">
        <f t="shared" ref="E341:E342" si="91">+B341+C341+D341</f>
        <v>0</v>
      </c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7"/>
    </row>
    <row r="342" spans="1:34" x14ac:dyDescent="0.25">
      <c r="A342" s="59"/>
      <c r="B342" s="58"/>
      <c r="C342" s="58"/>
      <c r="D342" s="58"/>
      <c r="E342" s="58">
        <f t="shared" si="91"/>
        <v>0</v>
      </c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7"/>
    </row>
    <row r="343" spans="1:34" ht="18.75" x14ac:dyDescent="0.4">
      <c r="A343" s="32" t="s">
        <v>112</v>
      </c>
      <c r="B343" s="40"/>
      <c r="C343" s="40"/>
      <c r="D343" s="40"/>
      <c r="E343" s="51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7"/>
    </row>
    <row r="344" spans="1:34" x14ac:dyDescent="0.25">
      <c r="A344" s="60" t="s">
        <v>120</v>
      </c>
      <c r="B344" s="58">
        <v>0</v>
      </c>
      <c r="C344" s="58"/>
      <c r="D344" s="58"/>
      <c r="E344" s="58">
        <f t="shared" ref="E344:E345" si="92">+B344+C344+D344</f>
        <v>0</v>
      </c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7"/>
    </row>
    <row r="345" spans="1:34" x14ac:dyDescent="0.25">
      <c r="A345" s="60" t="s">
        <v>121</v>
      </c>
      <c r="B345" s="61">
        <v>0</v>
      </c>
      <c r="C345" s="58"/>
      <c r="D345" s="58"/>
      <c r="E345" s="58">
        <f t="shared" si="92"/>
        <v>0</v>
      </c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7"/>
    </row>
    <row r="346" spans="1:34" ht="18.75" x14ac:dyDescent="0.4">
      <c r="A346" s="34" t="s">
        <v>113</v>
      </c>
      <c r="B346" s="40"/>
      <c r="C346" s="40"/>
      <c r="D346" s="40"/>
      <c r="E346" s="51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7"/>
    </row>
    <row r="347" spans="1:34" x14ac:dyDescent="0.25">
      <c r="A347" s="59"/>
      <c r="B347" s="58"/>
      <c r="C347" s="58"/>
      <c r="D347" s="58"/>
      <c r="E347" s="58">
        <f t="shared" ref="E347" si="93">+B347+C347+D347</f>
        <v>0</v>
      </c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7"/>
    </row>
    <row r="348" spans="1:34" x14ac:dyDescent="0.25">
      <c r="A348" s="9"/>
      <c r="B348" s="40"/>
      <c r="C348" s="40"/>
      <c r="D348" s="40"/>
      <c r="E348" s="51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7"/>
    </row>
    <row r="349" spans="1:34" ht="15.75" x14ac:dyDescent="0.3">
      <c r="A349" s="173" t="s">
        <v>41</v>
      </c>
      <c r="B349" s="173"/>
      <c r="C349" s="173"/>
      <c r="D349" s="173"/>
      <c r="E349" s="173"/>
      <c r="F349" s="152"/>
      <c r="G349" s="152"/>
      <c r="H349" s="152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7"/>
    </row>
    <row r="350" spans="1:34" s="20" customFormat="1" ht="18.75" x14ac:dyDescent="0.4">
      <c r="A350" s="19"/>
      <c r="B350" s="45"/>
      <c r="C350" s="45"/>
      <c r="D350" s="45"/>
      <c r="E350" s="45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45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</row>
    <row r="351" spans="1:34" s="20" customFormat="1" ht="30" x14ac:dyDescent="0.4">
      <c r="A351" s="33" t="s">
        <v>105</v>
      </c>
      <c r="B351" s="38" t="s">
        <v>106</v>
      </c>
      <c r="C351" s="38" t="s">
        <v>107</v>
      </c>
      <c r="D351" s="38" t="s">
        <v>108</v>
      </c>
      <c r="E351" s="38" t="s">
        <v>109</v>
      </c>
      <c r="F351" s="156"/>
      <c r="G351" s="38" t="s">
        <v>192</v>
      </c>
      <c r="H351" s="38" t="s">
        <v>193</v>
      </c>
      <c r="I351" s="38" t="s">
        <v>194</v>
      </c>
      <c r="J351" s="38" t="s">
        <v>195</v>
      </c>
      <c r="K351" s="38" t="s">
        <v>196</v>
      </c>
      <c r="L351" s="38" t="s">
        <v>197</v>
      </c>
      <c r="M351" s="38" t="s">
        <v>198</v>
      </c>
      <c r="N351" s="38" t="s">
        <v>199</v>
      </c>
      <c r="O351" s="38" t="s">
        <v>200</v>
      </c>
      <c r="P351" s="38" t="s">
        <v>201</v>
      </c>
      <c r="Q351" s="38" t="s">
        <v>202</v>
      </c>
      <c r="R351" s="38" t="s">
        <v>203</v>
      </c>
      <c r="S351" s="145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</row>
    <row r="352" spans="1:34" s="20" customFormat="1" ht="18.75" x14ac:dyDescent="0.4">
      <c r="A352" s="32" t="s">
        <v>110</v>
      </c>
      <c r="B352" s="37">
        <f>SUM(B353:B373)</f>
        <v>437599.96</v>
      </c>
      <c r="C352" s="37">
        <f t="shared" ref="C352:E352" si="94">SUM(C353:C373)</f>
        <v>0</v>
      </c>
      <c r="D352" s="37">
        <f t="shared" si="94"/>
        <v>0</v>
      </c>
      <c r="E352" s="37">
        <f t="shared" si="94"/>
        <v>437599.96</v>
      </c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45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</row>
    <row r="353" spans="1:34" s="3" customFormat="1" ht="11.25" customHeight="1" x14ac:dyDescent="0.15">
      <c r="A353" s="59" t="s">
        <v>1</v>
      </c>
      <c r="B353" s="58">
        <v>31339.53</v>
      </c>
      <c r="C353" s="58"/>
      <c r="D353" s="58"/>
      <c r="E353" s="58">
        <f t="shared" ref="E353:E364" si="95">+B353+C353+D353</f>
        <v>31339.53</v>
      </c>
      <c r="F353" s="138">
        <f t="shared" ref="F353:F364" si="96">SUM(G353:R353)</f>
        <v>31339.53</v>
      </c>
      <c r="G353" s="138">
        <v>0</v>
      </c>
      <c r="H353" s="138">
        <v>0</v>
      </c>
      <c r="I353" s="138">
        <v>0</v>
      </c>
      <c r="J353" s="138">
        <v>965.8</v>
      </c>
      <c r="K353" s="138">
        <v>5300</v>
      </c>
      <c r="L353" s="138">
        <v>5700</v>
      </c>
      <c r="M353" s="138">
        <v>1618.76</v>
      </c>
      <c r="N353" s="138">
        <v>15704</v>
      </c>
      <c r="O353" s="138">
        <v>2050.9699999999998</v>
      </c>
      <c r="P353" s="138">
        <v>0</v>
      </c>
      <c r="Q353" s="138">
        <v>0</v>
      </c>
      <c r="R353" s="138">
        <v>0</v>
      </c>
      <c r="S353" s="139"/>
      <c r="U353" s="4"/>
      <c r="W353" s="4"/>
      <c r="Y353" s="4"/>
      <c r="AA353" s="4"/>
      <c r="AC353" s="4"/>
      <c r="AE353" s="4"/>
      <c r="AG353" s="4"/>
    </row>
    <row r="354" spans="1:34" s="3" customFormat="1" ht="11.25" customHeight="1" x14ac:dyDescent="0.15">
      <c r="A354" s="59" t="s">
        <v>2</v>
      </c>
      <c r="B354" s="77">
        <v>3000</v>
      </c>
      <c r="C354" s="52"/>
      <c r="D354" s="58"/>
      <c r="E354" s="58">
        <f t="shared" si="95"/>
        <v>3000</v>
      </c>
      <c r="F354" s="138">
        <f t="shared" si="96"/>
        <v>3000</v>
      </c>
      <c r="G354" s="138">
        <v>0</v>
      </c>
      <c r="H354" s="138">
        <v>0</v>
      </c>
      <c r="I354" s="138">
        <v>0</v>
      </c>
      <c r="J354" s="138">
        <v>0</v>
      </c>
      <c r="K354" s="138">
        <v>0</v>
      </c>
      <c r="L354" s="138">
        <v>0</v>
      </c>
      <c r="M354" s="138">
        <v>0</v>
      </c>
      <c r="N354" s="138">
        <v>0</v>
      </c>
      <c r="O354" s="138">
        <v>0</v>
      </c>
      <c r="P354" s="138">
        <v>0</v>
      </c>
      <c r="Q354" s="138">
        <v>3000</v>
      </c>
      <c r="R354" s="138">
        <v>0</v>
      </c>
      <c r="S354" s="140"/>
      <c r="T354" s="7"/>
      <c r="U354" s="8"/>
      <c r="V354" s="7"/>
      <c r="W354" s="8"/>
      <c r="X354" s="7"/>
      <c r="Y354" s="8"/>
      <c r="Z354" s="7"/>
      <c r="AA354" s="8"/>
      <c r="AB354" s="7"/>
      <c r="AC354" s="8"/>
      <c r="AD354" s="7"/>
      <c r="AE354" s="8"/>
      <c r="AF354" s="7"/>
      <c r="AG354" s="8"/>
      <c r="AH354" s="7"/>
    </row>
    <row r="355" spans="1:34" s="3" customFormat="1" ht="11.25" customHeight="1" x14ac:dyDescent="0.15">
      <c r="A355" s="59" t="s">
        <v>3</v>
      </c>
      <c r="B355" s="77">
        <v>367.65</v>
      </c>
      <c r="C355" s="52"/>
      <c r="D355" s="58"/>
      <c r="E355" s="58">
        <f t="shared" si="95"/>
        <v>367.65</v>
      </c>
      <c r="F355" s="138">
        <f t="shared" si="96"/>
        <v>367.65</v>
      </c>
      <c r="G355" s="146">
        <v>0</v>
      </c>
      <c r="H355" s="142">
        <v>0</v>
      </c>
      <c r="I355" s="146">
        <v>0</v>
      </c>
      <c r="J355" s="146">
        <v>0</v>
      </c>
      <c r="K355" s="146">
        <v>367.65</v>
      </c>
      <c r="L355" s="146">
        <v>0</v>
      </c>
      <c r="M355" s="146">
        <v>0</v>
      </c>
      <c r="N355" s="146">
        <v>0</v>
      </c>
      <c r="O355" s="146">
        <v>0</v>
      </c>
      <c r="P355" s="146">
        <v>0</v>
      </c>
      <c r="Q355" s="146">
        <v>0</v>
      </c>
      <c r="R355" s="146">
        <v>0</v>
      </c>
      <c r="S355" s="140"/>
      <c r="T355" s="7"/>
      <c r="U355" s="8"/>
      <c r="V355" s="7"/>
      <c r="W355" s="8"/>
      <c r="X355" s="7"/>
      <c r="Y355" s="8"/>
      <c r="Z355" s="7"/>
      <c r="AA355" s="8"/>
      <c r="AB355" s="7"/>
      <c r="AC355" s="8"/>
      <c r="AD355" s="7"/>
      <c r="AE355" s="8"/>
      <c r="AF355" s="7"/>
      <c r="AG355" s="8"/>
      <c r="AH355" s="7"/>
    </row>
    <row r="356" spans="1:34" x14ac:dyDescent="0.25">
      <c r="A356" s="59" t="s">
        <v>39</v>
      </c>
      <c r="B356" s="58">
        <v>10000</v>
      </c>
      <c r="C356" s="58"/>
      <c r="D356" s="58"/>
      <c r="E356" s="58">
        <f t="shared" si="95"/>
        <v>10000</v>
      </c>
      <c r="F356" s="138">
        <f t="shared" si="96"/>
        <v>10000</v>
      </c>
      <c r="G356" s="138">
        <v>0</v>
      </c>
      <c r="H356" s="138">
        <v>0</v>
      </c>
      <c r="I356" s="138">
        <v>0</v>
      </c>
      <c r="J356" s="138">
        <v>0</v>
      </c>
      <c r="K356" s="138">
        <v>0</v>
      </c>
      <c r="L356" s="138">
        <v>0</v>
      </c>
      <c r="M356" s="138">
        <v>0</v>
      </c>
      <c r="N356" s="138">
        <v>0</v>
      </c>
      <c r="O356" s="138">
        <v>0</v>
      </c>
      <c r="P356" s="138">
        <v>5000</v>
      </c>
      <c r="Q356" s="138">
        <v>5000</v>
      </c>
      <c r="R356" s="138">
        <v>0</v>
      </c>
      <c r="S356" s="137"/>
    </row>
    <row r="357" spans="1:34" x14ac:dyDescent="0.25">
      <c r="A357" s="59" t="s">
        <v>18</v>
      </c>
      <c r="B357" s="58">
        <v>1000</v>
      </c>
      <c r="C357" s="58"/>
      <c r="D357" s="58"/>
      <c r="E357" s="58">
        <f t="shared" si="95"/>
        <v>1000</v>
      </c>
      <c r="F357" s="138">
        <f t="shared" si="96"/>
        <v>1000</v>
      </c>
      <c r="G357" s="138">
        <v>0</v>
      </c>
      <c r="H357" s="138">
        <v>0</v>
      </c>
      <c r="I357" s="138">
        <v>0</v>
      </c>
      <c r="J357" s="138">
        <v>0</v>
      </c>
      <c r="K357" s="138">
        <v>0</v>
      </c>
      <c r="L357" s="138">
        <v>0</v>
      </c>
      <c r="M357" s="138">
        <v>0</v>
      </c>
      <c r="N357" s="138">
        <v>0</v>
      </c>
      <c r="O357" s="138">
        <v>0</v>
      </c>
      <c r="P357" s="138">
        <v>0</v>
      </c>
      <c r="Q357" s="138">
        <v>1000</v>
      </c>
      <c r="R357" s="138">
        <v>0</v>
      </c>
      <c r="S357" s="137"/>
    </row>
    <row r="358" spans="1:34" x14ac:dyDescent="0.25">
      <c r="A358" s="59" t="s">
        <v>224</v>
      </c>
      <c r="B358" s="58">
        <v>500.6</v>
      </c>
      <c r="C358" s="58"/>
      <c r="D358" s="58"/>
      <c r="E358" s="58">
        <f t="shared" ref="E358" si="97">+B358+C358+D358</f>
        <v>500.6</v>
      </c>
      <c r="F358" s="138">
        <f t="shared" ref="F358" si="98">SUM(G358:R358)</f>
        <v>500.6</v>
      </c>
      <c r="G358" s="138">
        <v>0</v>
      </c>
      <c r="H358" s="138">
        <v>0</v>
      </c>
      <c r="I358" s="138">
        <v>0</v>
      </c>
      <c r="J358" s="138">
        <v>0</v>
      </c>
      <c r="K358" s="138">
        <v>0</v>
      </c>
      <c r="L358" s="138">
        <v>0</v>
      </c>
      <c r="M358" s="138">
        <v>250.3</v>
      </c>
      <c r="N358" s="138">
        <v>250.3</v>
      </c>
      <c r="O358" s="138">
        <v>0</v>
      </c>
      <c r="P358" s="138">
        <v>0</v>
      </c>
      <c r="Q358" s="138">
        <v>0</v>
      </c>
      <c r="R358" s="138">
        <v>0</v>
      </c>
      <c r="S358" s="137"/>
    </row>
    <row r="359" spans="1:34" x14ac:dyDescent="0.25">
      <c r="A359" s="59" t="s">
        <v>8</v>
      </c>
      <c r="B359" s="58">
        <v>1668</v>
      </c>
      <c r="C359" s="58"/>
      <c r="D359" s="58"/>
      <c r="E359" s="58">
        <f t="shared" si="95"/>
        <v>1668</v>
      </c>
      <c r="F359" s="138">
        <f t="shared" si="96"/>
        <v>1668.01</v>
      </c>
      <c r="G359" s="138">
        <v>0</v>
      </c>
      <c r="H359" s="138">
        <v>0</v>
      </c>
      <c r="I359" s="138">
        <v>0</v>
      </c>
      <c r="J359" s="138">
        <v>0</v>
      </c>
      <c r="K359" s="138">
        <v>109.01</v>
      </c>
      <c r="L359" s="138">
        <v>0</v>
      </c>
      <c r="M359" s="138">
        <v>0</v>
      </c>
      <c r="N359" s="138">
        <v>0</v>
      </c>
      <c r="O359" s="138">
        <v>0</v>
      </c>
      <c r="P359" s="138">
        <v>0</v>
      </c>
      <c r="Q359" s="138">
        <v>1500</v>
      </c>
      <c r="R359" s="138">
        <v>59</v>
      </c>
      <c r="S359" s="137"/>
    </row>
    <row r="360" spans="1:34" x14ac:dyDescent="0.25">
      <c r="A360" s="59" t="s">
        <v>204</v>
      </c>
      <c r="B360" s="58">
        <v>725.01</v>
      </c>
      <c r="C360" s="58"/>
      <c r="D360" s="58"/>
      <c r="E360" s="58">
        <f t="shared" ref="E360" si="99">+B360+C360+D360</f>
        <v>725.01</v>
      </c>
      <c r="F360" s="138">
        <f t="shared" ref="F360" si="100">SUM(G360:R360)</f>
        <v>725.01</v>
      </c>
      <c r="G360" s="138">
        <v>0</v>
      </c>
      <c r="H360" s="138">
        <v>0</v>
      </c>
      <c r="I360" s="138">
        <v>0</v>
      </c>
      <c r="J360" s="138">
        <v>0</v>
      </c>
      <c r="K360" s="138">
        <v>0</v>
      </c>
      <c r="L360" s="138">
        <v>40</v>
      </c>
      <c r="M360" s="138">
        <v>20</v>
      </c>
      <c r="N360" s="138">
        <v>20</v>
      </c>
      <c r="O360" s="138">
        <v>645.01</v>
      </c>
      <c r="P360" s="138">
        <v>0</v>
      </c>
      <c r="Q360" s="138">
        <v>0</v>
      </c>
      <c r="R360" s="138">
        <v>0</v>
      </c>
      <c r="S360" s="137"/>
    </row>
    <row r="361" spans="1:34" x14ac:dyDescent="0.25">
      <c r="A361" s="59" t="s">
        <v>10</v>
      </c>
      <c r="B361" s="58">
        <v>232.81</v>
      </c>
      <c r="C361" s="58"/>
      <c r="D361" s="58"/>
      <c r="E361" s="58">
        <f t="shared" si="95"/>
        <v>232.81</v>
      </c>
      <c r="F361" s="138">
        <f t="shared" si="96"/>
        <v>232.81</v>
      </c>
      <c r="G361" s="138">
        <v>0</v>
      </c>
      <c r="H361" s="138">
        <v>0</v>
      </c>
      <c r="I361" s="138">
        <v>0</v>
      </c>
      <c r="J361" s="138">
        <v>0</v>
      </c>
      <c r="K361" s="138">
        <v>232.81</v>
      </c>
      <c r="L361" s="138">
        <v>0</v>
      </c>
      <c r="M361" s="138">
        <v>0</v>
      </c>
      <c r="N361" s="138">
        <v>0</v>
      </c>
      <c r="O361" s="138">
        <v>0</v>
      </c>
      <c r="P361" s="138">
        <v>0</v>
      </c>
      <c r="Q361" s="138">
        <v>0</v>
      </c>
      <c r="R361" s="138">
        <v>0</v>
      </c>
      <c r="S361" s="137"/>
    </row>
    <row r="362" spans="1:34" x14ac:dyDescent="0.25">
      <c r="A362" s="59" t="s">
        <v>11</v>
      </c>
      <c r="B362" s="58">
        <v>3800</v>
      </c>
      <c r="C362" s="58"/>
      <c r="D362" s="58"/>
      <c r="E362" s="58">
        <f t="shared" si="95"/>
        <v>3800</v>
      </c>
      <c r="F362" s="138">
        <f t="shared" si="96"/>
        <v>3800</v>
      </c>
      <c r="G362" s="138">
        <v>0</v>
      </c>
      <c r="H362" s="138">
        <v>0</v>
      </c>
      <c r="I362" s="138">
        <v>0</v>
      </c>
      <c r="J362" s="138">
        <v>0</v>
      </c>
      <c r="K362" s="138">
        <v>0</v>
      </c>
      <c r="L362" s="138">
        <v>0</v>
      </c>
      <c r="M362" s="138">
        <v>0</v>
      </c>
      <c r="N362" s="138">
        <v>0</v>
      </c>
      <c r="O362" s="138">
        <v>0</v>
      </c>
      <c r="P362" s="138">
        <v>3800</v>
      </c>
      <c r="Q362" s="138">
        <v>0</v>
      </c>
      <c r="R362" s="138">
        <v>0</v>
      </c>
      <c r="S362" s="137"/>
    </row>
    <row r="363" spans="1:34" x14ac:dyDescent="0.25">
      <c r="A363" s="59" t="s">
        <v>40</v>
      </c>
      <c r="B363" s="58">
        <v>966.36</v>
      </c>
      <c r="C363" s="58"/>
      <c r="D363" s="58"/>
      <c r="E363" s="58">
        <f t="shared" si="95"/>
        <v>966.36</v>
      </c>
      <c r="F363" s="138">
        <f t="shared" si="96"/>
        <v>966.35</v>
      </c>
      <c r="G363" s="138">
        <v>0</v>
      </c>
      <c r="H363" s="138">
        <v>0</v>
      </c>
      <c r="I363" s="138">
        <v>0</v>
      </c>
      <c r="J363" s="138">
        <v>0</v>
      </c>
      <c r="K363" s="138">
        <v>966.35</v>
      </c>
      <c r="L363" s="138">
        <v>0</v>
      </c>
      <c r="M363" s="138">
        <v>0</v>
      </c>
      <c r="N363" s="138">
        <v>0</v>
      </c>
      <c r="O363" s="138">
        <v>0</v>
      </c>
      <c r="P363" s="138">
        <v>0</v>
      </c>
      <c r="Q363" s="138">
        <v>0</v>
      </c>
      <c r="R363" s="138">
        <v>0</v>
      </c>
      <c r="S363" s="137"/>
    </row>
    <row r="364" spans="1:34" x14ac:dyDescent="0.25">
      <c r="A364" s="117" t="s">
        <v>171</v>
      </c>
      <c r="B364" s="58">
        <v>0</v>
      </c>
      <c r="C364" s="63"/>
      <c r="D364" s="58"/>
      <c r="E364" s="58">
        <f t="shared" si="95"/>
        <v>0</v>
      </c>
      <c r="F364" s="138">
        <f t="shared" si="96"/>
        <v>0</v>
      </c>
      <c r="G364" s="138">
        <v>0</v>
      </c>
      <c r="H364" s="138">
        <v>0</v>
      </c>
      <c r="I364" s="138">
        <v>0</v>
      </c>
      <c r="J364" s="138">
        <v>0</v>
      </c>
      <c r="K364" s="138">
        <v>0</v>
      </c>
      <c r="L364" s="138">
        <v>0</v>
      </c>
      <c r="M364" s="138">
        <v>0</v>
      </c>
      <c r="N364" s="138">
        <v>0</v>
      </c>
      <c r="O364" s="138">
        <v>0</v>
      </c>
      <c r="P364" s="138">
        <v>0</v>
      </c>
      <c r="Q364" s="138">
        <v>0</v>
      </c>
      <c r="R364" s="138">
        <v>0</v>
      </c>
      <c r="S364" s="137"/>
    </row>
    <row r="365" spans="1:34" x14ac:dyDescent="0.25">
      <c r="A365" s="9"/>
      <c r="B365" s="40"/>
      <c r="C365" s="40"/>
      <c r="D365" s="40"/>
      <c r="E365" s="51"/>
      <c r="F365" s="138" t="s">
        <v>75</v>
      </c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7"/>
    </row>
    <row r="366" spans="1:34" ht="18.75" x14ac:dyDescent="0.4">
      <c r="A366" s="32" t="s">
        <v>111</v>
      </c>
      <c r="B366" s="40"/>
      <c r="C366" s="40"/>
      <c r="D366" s="40"/>
      <c r="E366" s="51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7"/>
    </row>
    <row r="367" spans="1:34" x14ac:dyDescent="0.25">
      <c r="A367" s="59"/>
      <c r="B367" s="58"/>
      <c r="C367" s="58"/>
      <c r="D367" s="58"/>
      <c r="E367" s="58">
        <f t="shared" ref="E367:E368" si="101">+B367+C367+D367</f>
        <v>0</v>
      </c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7"/>
    </row>
    <row r="368" spans="1:34" x14ac:dyDescent="0.25">
      <c r="A368" s="59"/>
      <c r="B368" s="58"/>
      <c r="C368" s="58"/>
      <c r="D368" s="58"/>
      <c r="E368" s="58">
        <f t="shared" si="101"/>
        <v>0</v>
      </c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7"/>
    </row>
    <row r="369" spans="1:34" ht="18.75" x14ac:dyDescent="0.4">
      <c r="A369" s="32" t="s">
        <v>112</v>
      </c>
      <c r="B369" s="40"/>
      <c r="C369" s="40"/>
      <c r="D369" s="40"/>
      <c r="E369" s="51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7"/>
    </row>
    <row r="370" spans="1:34" x14ac:dyDescent="0.25">
      <c r="A370" s="60" t="s">
        <v>120</v>
      </c>
      <c r="B370" s="58">
        <v>0</v>
      </c>
      <c r="C370" s="58"/>
      <c r="D370" s="58"/>
      <c r="E370" s="58">
        <f t="shared" ref="E370:E371" si="102">+B370+C370+D370</f>
        <v>0</v>
      </c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7"/>
    </row>
    <row r="371" spans="1:34" x14ac:dyDescent="0.25">
      <c r="A371" s="60" t="s">
        <v>124</v>
      </c>
      <c r="B371" s="61">
        <v>384000</v>
      </c>
      <c r="C371" s="58"/>
      <c r="D371" s="58"/>
      <c r="E371" s="58">
        <f t="shared" si="102"/>
        <v>384000</v>
      </c>
      <c r="F371" s="138">
        <f t="shared" ref="F371" si="103">SUM(G371:R371)</f>
        <v>384000</v>
      </c>
      <c r="G371" s="138">
        <v>0</v>
      </c>
      <c r="H371" s="138">
        <v>0</v>
      </c>
      <c r="I371" s="138">
        <v>0</v>
      </c>
      <c r="J371" s="138">
        <v>0</v>
      </c>
      <c r="K371" s="138">
        <v>0</v>
      </c>
      <c r="L371" s="138">
        <v>384000</v>
      </c>
      <c r="M371" s="138">
        <v>0</v>
      </c>
      <c r="N371" s="138">
        <v>0</v>
      </c>
      <c r="O371" s="138">
        <v>0</v>
      </c>
      <c r="P371" s="138">
        <v>0</v>
      </c>
      <c r="Q371" s="138">
        <v>0</v>
      </c>
      <c r="R371" s="138">
        <v>0</v>
      </c>
      <c r="S371" s="137"/>
    </row>
    <row r="372" spans="1:34" ht="18.75" x14ac:dyDescent="0.4">
      <c r="A372" s="34" t="s">
        <v>113</v>
      </c>
      <c r="B372" s="40"/>
      <c r="C372" s="40"/>
      <c r="D372" s="40"/>
      <c r="E372" s="51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7"/>
    </row>
    <row r="373" spans="1:34" x14ac:dyDescent="0.25">
      <c r="A373" s="59"/>
      <c r="B373" s="58"/>
      <c r="C373" s="58"/>
      <c r="D373" s="58"/>
      <c r="E373" s="58">
        <f t="shared" ref="E373" si="104">+B373+C373+D373</f>
        <v>0</v>
      </c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7"/>
    </row>
    <row r="374" spans="1:34" x14ac:dyDescent="0.25">
      <c r="A374" s="9"/>
      <c r="B374" s="40"/>
      <c r="C374" s="40"/>
      <c r="D374" s="40"/>
      <c r="E374" s="51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7"/>
    </row>
    <row r="375" spans="1:34" ht="19.5" x14ac:dyDescent="0.4">
      <c r="A375" s="172" t="s">
        <v>42</v>
      </c>
      <c r="B375" s="172"/>
      <c r="C375" s="172"/>
      <c r="D375" s="172"/>
      <c r="E375" s="172"/>
      <c r="F375" s="152"/>
      <c r="G375" s="152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7"/>
    </row>
    <row r="376" spans="1:34" s="20" customFormat="1" ht="18.75" x14ac:dyDescent="0.4">
      <c r="A376" s="19"/>
      <c r="B376" s="45"/>
      <c r="C376" s="45"/>
      <c r="D376" s="45"/>
      <c r="E376" s="45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45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</row>
    <row r="377" spans="1:34" s="20" customFormat="1" ht="30" x14ac:dyDescent="0.4">
      <c r="A377" s="33" t="s">
        <v>105</v>
      </c>
      <c r="B377" s="38" t="s">
        <v>106</v>
      </c>
      <c r="C377" s="38" t="s">
        <v>107</v>
      </c>
      <c r="D377" s="38" t="s">
        <v>108</v>
      </c>
      <c r="E377" s="38" t="s">
        <v>109</v>
      </c>
      <c r="F377" s="156"/>
      <c r="G377" s="38" t="s">
        <v>192</v>
      </c>
      <c r="H377" s="38" t="s">
        <v>193</v>
      </c>
      <c r="I377" s="38" t="s">
        <v>194</v>
      </c>
      <c r="J377" s="38" t="s">
        <v>195</v>
      </c>
      <c r="K377" s="38" t="s">
        <v>196</v>
      </c>
      <c r="L377" s="38" t="s">
        <v>197</v>
      </c>
      <c r="M377" s="38" t="s">
        <v>198</v>
      </c>
      <c r="N377" s="38" t="s">
        <v>199</v>
      </c>
      <c r="O377" s="38" t="s">
        <v>200</v>
      </c>
      <c r="P377" s="38" t="s">
        <v>201</v>
      </c>
      <c r="Q377" s="38" t="s">
        <v>202</v>
      </c>
      <c r="R377" s="38" t="s">
        <v>203</v>
      </c>
      <c r="S377" s="145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</row>
    <row r="378" spans="1:34" s="20" customFormat="1" ht="18.75" x14ac:dyDescent="0.4">
      <c r="A378" s="32" t="s">
        <v>110</v>
      </c>
      <c r="B378" s="37">
        <f>SUM(B379:B397)</f>
        <v>1466099.08</v>
      </c>
      <c r="C378" s="37">
        <f t="shared" ref="C378:E378" si="105">SUM(C379:C397)</f>
        <v>0</v>
      </c>
      <c r="D378" s="37">
        <f t="shared" si="105"/>
        <v>0</v>
      </c>
      <c r="E378" s="37">
        <f t="shared" si="105"/>
        <v>1466099.08</v>
      </c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45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</row>
    <row r="379" spans="1:34" s="3" customFormat="1" ht="11.25" customHeight="1" x14ac:dyDescent="0.15">
      <c r="A379" s="59" t="s">
        <v>1</v>
      </c>
      <c r="B379" s="58">
        <v>92648.01</v>
      </c>
      <c r="C379" s="58"/>
      <c r="D379" s="58"/>
      <c r="E379" s="58">
        <f t="shared" ref="E379:E388" si="106">+B379+C379+D379</f>
        <v>92648.01</v>
      </c>
      <c r="F379" s="138">
        <f t="shared" ref="F379:F388" si="107">SUM(G379:R379)</f>
        <v>92648.010000000009</v>
      </c>
      <c r="G379" s="138">
        <v>0</v>
      </c>
      <c r="H379" s="138">
        <v>0</v>
      </c>
      <c r="I379" s="138">
        <v>0</v>
      </c>
      <c r="J379" s="138">
        <v>0</v>
      </c>
      <c r="K379" s="138">
        <v>15000</v>
      </c>
      <c r="L379" s="138">
        <v>20800</v>
      </c>
      <c r="M379" s="138">
        <v>0</v>
      </c>
      <c r="N379" s="138">
        <v>1769.9</v>
      </c>
      <c r="O379" s="138">
        <v>55078.11</v>
      </c>
      <c r="P379" s="138">
        <v>0</v>
      </c>
      <c r="Q379" s="138">
        <v>0</v>
      </c>
      <c r="R379" s="138">
        <v>0</v>
      </c>
      <c r="S379" s="139"/>
      <c r="U379" s="4"/>
      <c r="W379" s="4"/>
      <c r="Y379" s="4"/>
      <c r="AA379" s="4"/>
      <c r="AC379" s="4"/>
      <c r="AE379" s="4"/>
      <c r="AG379" s="4"/>
    </row>
    <row r="380" spans="1:34" s="3" customFormat="1" ht="11.25" customHeight="1" x14ac:dyDescent="0.15">
      <c r="A380" s="59" t="s">
        <v>2</v>
      </c>
      <c r="B380" s="77">
        <v>0</v>
      </c>
      <c r="C380" s="52"/>
      <c r="D380" s="58"/>
      <c r="E380" s="58">
        <f t="shared" si="106"/>
        <v>0</v>
      </c>
      <c r="F380" s="138">
        <f t="shared" si="107"/>
        <v>0</v>
      </c>
      <c r="G380" s="146">
        <v>0</v>
      </c>
      <c r="H380" s="142">
        <v>0</v>
      </c>
      <c r="I380" s="146">
        <v>0</v>
      </c>
      <c r="J380" s="146">
        <v>0</v>
      </c>
      <c r="K380" s="146">
        <v>0</v>
      </c>
      <c r="L380" s="146">
        <v>0</v>
      </c>
      <c r="M380" s="146">
        <v>0</v>
      </c>
      <c r="N380" s="146">
        <v>0</v>
      </c>
      <c r="O380" s="146">
        <v>0</v>
      </c>
      <c r="P380" s="146">
        <v>0</v>
      </c>
      <c r="Q380" s="146">
        <v>0</v>
      </c>
      <c r="R380" s="146">
        <v>0</v>
      </c>
      <c r="S380" s="140"/>
      <c r="T380" s="7"/>
      <c r="U380" s="8"/>
      <c r="V380" s="7"/>
      <c r="W380" s="8"/>
      <c r="X380" s="7"/>
      <c r="Y380" s="8"/>
      <c r="Z380" s="7"/>
      <c r="AA380" s="8"/>
      <c r="AB380" s="7"/>
      <c r="AC380" s="8"/>
      <c r="AD380" s="7"/>
      <c r="AE380" s="8"/>
      <c r="AF380" s="7"/>
      <c r="AG380" s="8"/>
      <c r="AH380" s="7"/>
    </row>
    <row r="381" spans="1:34" s="3" customFormat="1" ht="11.25" customHeight="1" x14ac:dyDescent="0.15">
      <c r="A381" s="59" t="s">
        <v>3</v>
      </c>
      <c r="B381" s="77">
        <v>117.49</v>
      </c>
      <c r="C381" s="52"/>
      <c r="D381" s="58"/>
      <c r="E381" s="58">
        <f t="shared" si="106"/>
        <v>117.49</v>
      </c>
      <c r="F381" s="138">
        <f t="shared" si="107"/>
        <v>117.49</v>
      </c>
      <c r="G381" s="146">
        <v>0</v>
      </c>
      <c r="H381" s="142">
        <v>0</v>
      </c>
      <c r="I381" s="146">
        <v>0</v>
      </c>
      <c r="J381" s="146">
        <v>0</v>
      </c>
      <c r="K381" s="146">
        <v>117.49</v>
      </c>
      <c r="L381" s="146">
        <v>0</v>
      </c>
      <c r="M381" s="146">
        <v>0</v>
      </c>
      <c r="N381" s="146">
        <v>0</v>
      </c>
      <c r="O381" s="146">
        <v>0</v>
      </c>
      <c r="P381" s="146">
        <v>0</v>
      </c>
      <c r="Q381" s="146">
        <v>0</v>
      </c>
      <c r="R381" s="146">
        <v>0</v>
      </c>
      <c r="S381" s="140"/>
      <c r="T381" s="7"/>
      <c r="U381" s="8"/>
      <c r="V381" s="7"/>
      <c r="W381" s="8"/>
      <c r="X381" s="7"/>
      <c r="Y381" s="8"/>
      <c r="Z381" s="7"/>
      <c r="AA381" s="8"/>
      <c r="AB381" s="7"/>
      <c r="AC381" s="8"/>
      <c r="AD381" s="7"/>
      <c r="AE381" s="8"/>
      <c r="AF381" s="7"/>
      <c r="AG381" s="8"/>
      <c r="AH381" s="7"/>
    </row>
    <row r="382" spans="1:34" x14ac:dyDescent="0.25">
      <c r="A382" s="59" t="s">
        <v>18</v>
      </c>
      <c r="B382" s="58">
        <v>5000</v>
      </c>
      <c r="C382" s="58"/>
      <c r="D382" s="58"/>
      <c r="E382" s="58">
        <f t="shared" si="106"/>
        <v>5000</v>
      </c>
      <c r="F382" s="138">
        <f t="shared" si="107"/>
        <v>5000</v>
      </c>
      <c r="G382" s="146">
        <v>0</v>
      </c>
      <c r="H382" s="146">
        <v>0</v>
      </c>
      <c r="I382" s="146">
        <v>0</v>
      </c>
      <c r="J382" s="146">
        <v>0</v>
      </c>
      <c r="K382" s="138">
        <v>2500</v>
      </c>
      <c r="L382" s="146">
        <v>0</v>
      </c>
      <c r="M382" s="146">
        <v>0</v>
      </c>
      <c r="N382" s="146">
        <v>0</v>
      </c>
      <c r="O382" s="146">
        <v>0</v>
      </c>
      <c r="P382" s="146">
        <v>2500</v>
      </c>
      <c r="Q382" s="146">
        <v>0</v>
      </c>
      <c r="R382" s="146">
        <v>0</v>
      </c>
      <c r="S382" s="137"/>
    </row>
    <row r="383" spans="1:34" x14ac:dyDescent="0.25">
      <c r="A383" s="59" t="s">
        <v>19</v>
      </c>
      <c r="B383" s="58">
        <v>3500</v>
      </c>
      <c r="C383" s="58"/>
      <c r="D383" s="58"/>
      <c r="E383" s="58">
        <f t="shared" si="106"/>
        <v>3500</v>
      </c>
      <c r="F383" s="138">
        <f t="shared" si="107"/>
        <v>3551.11</v>
      </c>
      <c r="G383" s="146">
        <v>0</v>
      </c>
      <c r="H383" s="146">
        <v>0</v>
      </c>
      <c r="I383" s="146">
        <v>0</v>
      </c>
      <c r="J383" s="146">
        <v>0</v>
      </c>
      <c r="K383" s="138">
        <v>351.11</v>
      </c>
      <c r="L383" s="146">
        <v>0</v>
      </c>
      <c r="M383" s="146">
        <v>0</v>
      </c>
      <c r="N383" s="146">
        <v>0</v>
      </c>
      <c r="O383" s="146">
        <v>0</v>
      </c>
      <c r="P383" s="146">
        <v>0</v>
      </c>
      <c r="Q383" s="146">
        <v>3200</v>
      </c>
      <c r="R383" s="146">
        <v>0</v>
      </c>
      <c r="S383" s="137"/>
    </row>
    <row r="384" spans="1:34" x14ac:dyDescent="0.25">
      <c r="A384" s="59" t="s">
        <v>228</v>
      </c>
      <c r="B384" s="58">
        <v>232.81</v>
      </c>
      <c r="C384" s="58"/>
      <c r="D384" s="58"/>
      <c r="E384" s="58">
        <f t="shared" ref="E384" si="108">+B384+C384+D384</f>
        <v>232.81</v>
      </c>
      <c r="F384" s="138">
        <f t="shared" ref="F384" si="109">SUM(G384:R384)</f>
        <v>232.81</v>
      </c>
      <c r="G384" s="146">
        <v>0</v>
      </c>
      <c r="H384" s="146">
        <v>0</v>
      </c>
      <c r="I384" s="146">
        <v>0</v>
      </c>
      <c r="J384" s="146">
        <v>0</v>
      </c>
      <c r="K384" s="138">
        <v>232.81</v>
      </c>
      <c r="L384" s="146">
        <v>0</v>
      </c>
      <c r="M384" s="146">
        <v>0</v>
      </c>
      <c r="N384" s="146">
        <v>0</v>
      </c>
      <c r="O384" s="146">
        <v>0</v>
      </c>
      <c r="P384" s="146">
        <v>0</v>
      </c>
      <c r="Q384" s="146">
        <v>0</v>
      </c>
      <c r="R384" s="146">
        <v>0</v>
      </c>
      <c r="S384" s="137"/>
    </row>
    <row r="385" spans="1:19" x14ac:dyDescent="0.25">
      <c r="A385" s="59" t="s">
        <v>10</v>
      </c>
      <c r="B385" s="58">
        <v>18600.77</v>
      </c>
      <c r="C385" s="58"/>
      <c r="D385" s="58"/>
      <c r="E385" s="58">
        <f t="shared" si="106"/>
        <v>18600.77</v>
      </c>
      <c r="F385" s="138">
        <f t="shared" si="107"/>
        <v>18600.77</v>
      </c>
      <c r="G385" s="138">
        <v>0</v>
      </c>
      <c r="H385" s="138">
        <v>0</v>
      </c>
      <c r="I385" s="138">
        <v>0</v>
      </c>
      <c r="J385" s="138">
        <v>1950.78</v>
      </c>
      <c r="K385" s="138">
        <f>16000-13650</f>
        <v>2350</v>
      </c>
      <c r="L385" s="138">
        <v>0</v>
      </c>
      <c r="M385" s="138">
        <v>400</v>
      </c>
      <c r="N385" s="138">
        <v>899.99</v>
      </c>
      <c r="O385" s="138">
        <v>0</v>
      </c>
      <c r="P385" s="138">
        <v>13000</v>
      </c>
      <c r="Q385" s="138">
        <v>0</v>
      </c>
      <c r="R385" s="138">
        <v>0</v>
      </c>
      <c r="S385" s="137"/>
    </row>
    <row r="386" spans="1:19" x14ac:dyDescent="0.25">
      <c r="A386" s="59" t="s">
        <v>11</v>
      </c>
      <c r="B386" s="58">
        <v>6000</v>
      </c>
      <c r="C386" s="58"/>
      <c r="D386" s="58"/>
      <c r="E386" s="58">
        <f t="shared" si="106"/>
        <v>6000</v>
      </c>
      <c r="F386" s="138">
        <f t="shared" si="107"/>
        <v>6000</v>
      </c>
      <c r="G386" s="146">
        <v>0</v>
      </c>
      <c r="H386" s="146">
        <v>0</v>
      </c>
      <c r="I386" s="146">
        <v>0</v>
      </c>
      <c r="J386" s="146">
        <v>0</v>
      </c>
      <c r="K386" s="146">
        <v>0</v>
      </c>
      <c r="L386" s="146">
        <v>0</v>
      </c>
      <c r="M386" s="146">
        <v>0</v>
      </c>
      <c r="N386" s="146">
        <v>0</v>
      </c>
      <c r="O386" s="146">
        <v>0</v>
      </c>
      <c r="P386" s="146">
        <v>2500</v>
      </c>
      <c r="Q386" s="146">
        <v>3500</v>
      </c>
      <c r="R386" s="146">
        <v>0</v>
      </c>
      <c r="S386" s="137"/>
    </row>
    <row r="387" spans="1:19" x14ac:dyDescent="0.25">
      <c r="A387" s="59" t="s">
        <v>172</v>
      </c>
      <c r="B387" s="58">
        <v>0</v>
      </c>
      <c r="C387" s="58"/>
      <c r="D387" s="58"/>
      <c r="E387" s="58">
        <f t="shared" si="106"/>
        <v>0</v>
      </c>
      <c r="F387" s="138">
        <f t="shared" si="107"/>
        <v>0</v>
      </c>
      <c r="G387" s="146">
        <v>0</v>
      </c>
      <c r="H387" s="146">
        <v>0</v>
      </c>
      <c r="I387" s="146">
        <v>0</v>
      </c>
      <c r="J387" s="146">
        <v>0</v>
      </c>
      <c r="K387" s="146">
        <v>0</v>
      </c>
      <c r="L387" s="146">
        <v>0</v>
      </c>
      <c r="M387" s="146">
        <v>0</v>
      </c>
      <c r="N387" s="146">
        <v>0</v>
      </c>
      <c r="O387" s="146">
        <v>0</v>
      </c>
      <c r="P387" s="146">
        <v>0</v>
      </c>
      <c r="Q387" s="146">
        <v>0</v>
      </c>
      <c r="R387" s="146">
        <v>0</v>
      </c>
      <c r="S387" s="137"/>
    </row>
    <row r="388" spans="1:19" x14ac:dyDescent="0.25">
      <c r="A388" s="117" t="s">
        <v>171</v>
      </c>
      <c r="B388" s="58">
        <v>0</v>
      </c>
      <c r="C388" s="63"/>
      <c r="D388" s="58"/>
      <c r="E388" s="58">
        <f t="shared" si="106"/>
        <v>0</v>
      </c>
      <c r="F388" s="138">
        <f t="shared" si="107"/>
        <v>0</v>
      </c>
      <c r="G388" s="146">
        <v>0</v>
      </c>
      <c r="H388" s="146">
        <v>0</v>
      </c>
      <c r="I388" s="146">
        <v>0</v>
      </c>
      <c r="J388" s="146">
        <v>0</v>
      </c>
      <c r="K388" s="146">
        <v>0</v>
      </c>
      <c r="L388" s="146">
        <v>0</v>
      </c>
      <c r="M388" s="146">
        <v>0</v>
      </c>
      <c r="N388" s="146">
        <v>0</v>
      </c>
      <c r="O388" s="146">
        <v>0</v>
      </c>
      <c r="P388" s="146">
        <v>0</v>
      </c>
      <c r="Q388" s="146">
        <v>0</v>
      </c>
      <c r="R388" s="146">
        <v>0</v>
      </c>
      <c r="S388" s="137"/>
    </row>
    <row r="389" spans="1:19" x14ac:dyDescent="0.25">
      <c r="A389" s="9"/>
      <c r="B389" s="40"/>
      <c r="C389" s="40"/>
      <c r="D389" s="40"/>
      <c r="E389" s="51"/>
      <c r="F389" s="138" t="s">
        <v>75</v>
      </c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7"/>
    </row>
    <row r="390" spans="1:19" ht="18.75" x14ac:dyDescent="0.4">
      <c r="A390" s="32" t="s">
        <v>111</v>
      </c>
      <c r="B390" s="40"/>
      <c r="C390" s="40"/>
      <c r="D390" s="40"/>
      <c r="E390" s="51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7"/>
    </row>
    <row r="391" spans="1:19" x14ac:dyDescent="0.25">
      <c r="A391" s="59"/>
      <c r="B391" s="58"/>
      <c r="C391" s="58"/>
      <c r="D391" s="58"/>
      <c r="E391" s="58">
        <f t="shared" ref="E391:E392" si="110">+B391+C391+D391</f>
        <v>0</v>
      </c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7"/>
    </row>
    <row r="392" spans="1:19" x14ac:dyDescent="0.25">
      <c r="A392" s="59"/>
      <c r="B392" s="58"/>
      <c r="C392" s="58"/>
      <c r="D392" s="58"/>
      <c r="E392" s="58">
        <f t="shared" si="110"/>
        <v>0</v>
      </c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7"/>
    </row>
    <row r="393" spans="1:19" ht="18.75" x14ac:dyDescent="0.4">
      <c r="A393" s="32" t="s">
        <v>112</v>
      </c>
      <c r="B393" s="40"/>
      <c r="C393" s="40"/>
      <c r="D393" s="40"/>
      <c r="E393" s="51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7"/>
    </row>
    <row r="394" spans="1:19" x14ac:dyDescent="0.25">
      <c r="A394" s="60" t="s">
        <v>124</v>
      </c>
      <c r="B394" s="58">
        <v>1340000</v>
      </c>
      <c r="C394" s="58"/>
      <c r="D394" s="58"/>
      <c r="E394" s="58">
        <f t="shared" ref="E394:E395" si="111">+B394+C394+D394</f>
        <v>1340000</v>
      </c>
      <c r="F394" s="138">
        <f t="shared" ref="F394" si="112">SUM(G394:R394)</f>
        <v>1340000</v>
      </c>
      <c r="G394" s="146">
        <v>0</v>
      </c>
      <c r="H394" s="146">
        <v>0</v>
      </c>
      <c r="I394" s="146">
        <v>0</v>
      </c>
      <c r="J394" s="146">
        <v>0</v>
      </c>
      <c r="K394" s="146">
        <v>0</v>
      </c>
      <c r="L394" s="146">
        <v>1340000</v>
      </c>
      <c r="M394" s="146">
        <v>0</v>
      </c>
      <c r="N394" s="146">
        <v>0</v>
      </c>
      <c r="O394" s="146">
        <v>0</v>
      </c>
      <c r="P394" s="146">
        <v>0</v>
      </c>
      <c r="Q394" s="146">
        <v>0</v>
      </c>
      <c r="R394" s="146">
        <v>0</v>
      </c>
      <c r="S394" s="137"/>
    </row>
    <row r="395" spans="1:19" x14ac:dyDescent="0.25">
      <c r="A395" s="60" t="s">
        <v>75</v>
      </c>
      <c r="B395" s="61">
        <v>0</v>
      </c>
      <c r="C395" s="58"/>
      <c r="D395" s="58"/>
      <c r="E395" s="58">
        <f t="shared" si="111"/>
        <v>0</v>
      </c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7"/>
    </row>
    <row r="396" spans="1:19" ht="18.75" x14ac:dyDescent="0.4">
      <c r="A396" s="34" t="s">
        <v>113</v>
      </c>
      <c r="B396" s="40"/>
      <c r="C396" s="40"/>
      <c r="D396" s="40"/>
      <c r="E396" s="51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7"/>
    </row>
    <row r="397" spans="1:19" x14ac:dyDescent="0.25">
      <c r="A397" s="59"/>
      <c r="B397" s="58"/>
      <c r="C397" s="58"/>
      <c r="D397" s="58"/>
      <c r="E397" s="58">
        <f t="shared" ref="E397" si="113">+B397+C397+D397</f>
        <v>0</v>
      </c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7"/>
    </row>
    <row r="398" spans="1:19" x14ac:dyDescent="0.25">
      <c r="A398" s="9"/>
      <c r="B398" s="40"/>
      <c r="C398" s="40"/>
      <c r="D398" s="40"/>
      <c r="E398" s="51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7"/>
    </row>
    <row r="399" spans="1:19" x14ac:dyDescent="0.25">
      <c r="A399" s="9"/>
      <c r="B399" s="40"/>
      <c r="C399" s="40"/>
      <c r="D399" s="40"/>
      <c r="E399" s="51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7"/>
    </row>
    <row r="400" spans="1:19" x14ac:dyDescent="0.25">
      <c r="A400" s="9"/>
      <c r="B400" s="40"/>
      <c r="C400" s="40"/>
      <c r="D400" s="40"/>
      <c r="E400" s="51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7"/>
    </row>
    <row r="401" spans="1:34" ht="15.75" x14ac:dyDescent="0.3">
      <c r="A401" s="173" t="s">
        <v>43</v>
      </c>
      <c r="B401" s="173"/>
      <c r="C401" s="173"/>
      <c r="D401" s="173"/>
      <c r="E401" s="173"/>
      <c r="F401" s="152"/>
      <c r="G401" s="152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7"/>
    </row>
    <row r="402" spans="1:34" s="20" customFormat="1" ht="18.75" x14ac:dyDescent="0.4">
      <c r="A402" s="19"/>
      <c r="B402" s="45"/>
      <c r="C402" s="45"/>
      <c r="D402" s="45"/>
      <c r="E402" s="45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45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</row>
    <row r="403" spans="1:34" s="20" customFormat="1" ht="30" x14ac:dyDescent="0.4">
      <c r="A403" s="33" t="s">
        <v>105</v>
      </c>
      <c r="B403" s="38" t="s">
        <v>106</v>
      </c>
      <c r="C403" s="38" t="s">
        <v>107</v>
      </c>
      <c r="D403" s="38" t="s">
        <v>108</v>
      </c>
      <c r="E403" s="38" t="s">
        <v>109</v>
      </c>
      <c r="F403" s="156"/>
      <c r="G403" s="38" t="s">
        <v>192</v>
      </c>
      <c r="H403" s="38" t="s">
        <v>193</v>
      </c>
      <c r="I403" s="38" t="s">
        <v>194</v>
      </c>
      <c r="J403" s="38" t="s">
        <v>195</v>
      </c>
      <c r="K403" s="38" t="s">
        <v>196</v>
      </c>
      <c r="L403" s="38" t="s">
        <v>197</v>
      </c>
      <c r="M403" s="38" t="s">
        <v>198</v>
      </c>
      <c r="N403" s="38" t="s">
        <v>199</v>
      </c>
      <c r="O403" s="38" t="s">
        <v>200</v>
      </c>
      <c r="P403" s="38" t="s">
        <v>201</v>
      </c>
      <c r="Q403" s="38" t="s">
        <v>202</v>
      </c>
      <c r="R403" s="38" t="s">
        <v>203</v>
      </c>
      <c r="S403" s="145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</row>
    <row r="404" spans="1:34" s="20" customFormat="1" ht="18.75" x14ac:dyDescent="0.4">
      <c r="A404" s="32" t="s">
        <v>110</v>
      </c>
      <c r="B404" s="136">
        <f>SUM(B405:B427)</f>
        <v>397890.28</v>
      </c>
      <c r="C404" s="136">
        <f t="shared" ref="C404:E404" si="114">SUM(C405:C427)</f>
        <v>0</v>
      </c>
      <c r="D404" s="136">
        <f t="shared" si="114"/>
        <v>0</v>
      </c>
      <c r="E404" s="136">
        <f t="shared" si="114"/>
        <v>397890.28</v>
      </c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45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</row>
    <row r="405" spans="1:34" s="3" customFormat="1" ht="11.25" customHeight="1" x14ac:dyDescent="0.15">
      <c r="A405" s="59" t="s">
        <v>1</v>
      </c>
      <c r="B405" s="58">
        <v>40209.770000000004</v>
      </c>
      <c r="C405" s="58"/>
      <c r="D405" s="58"/>
      <c r="E405" s="58">
        <f t="shared" ref="E405:E418" si="115">+B405+C405+D405</f>
        <v>40209.770000000004</v>
      </c>
      <c r="F405" s="138">
        <f t="shared" ref="F405:F418" si="116">SUM(G405:R405)</f>
        <v>40209.770000000004</v>
      </c>
      <c r="G405" s="138">
        <v>0</v>
      </c>
      <c r="H405" s="138">
        <v>0</v>
      </c>
      <c r="I405" s="138">
        <v>0</v>
      </c>
      <c r="J405" s="138">
        <v>0</v>
      </c>
      <c r="K405" s="138">
        <f>9925-4378.91</f>
        <v>5546.09</v>
      </c>
      <c r="L405" s="138">
        <v>0</v>
      </c>
      <c r="M405" s="138">
        <v>0</v>
      </c>
      <c r="N405" s="138">
        <v>21316.48</v>
      </c>
      <c r="O405" s="138">
        <v>4257.2</v>
      </c>
      <c r="P405" s="138">
        <v>2870</v>
      </c>
      <c r="Q405" s="138">
        <v>4700</v>
      </c>
      <c r="R405" s="138">
        <v>1520</v>
      </c>
      <c r="S405" s="139"/>
      <c r="U405" s="4"/>
      <c r="W405" s="4"/>
      <c r="Y405" s="4"/>
      <c r="AA405" s="4"/>
      <c r="AC405" s="4"/>
      <c r="AE405" s="4"/>
      <c r="AG405" s="4"/>
    </row>
    <row r="406" spans="1:34" s="3" customFormat="1" ht="11.25" customHeight="1" x14ac:dyDescent="0.15">
      <c r="A406" s="59" t="s">
        <v>2</v>
      </c>
      <c r="B406" s="77">
        <v>890</v>
      </c>
      <c r="C406" s="52"/>
      <c r="D406" s="58"/>
      <c r="E406" s="58">
        <f t="shared" si="115"/>
        <v>890</v>
      </c>
      <c r="F406" s="138">
        <f t="shared" si="116"/>
        <v>890</v>
      </c>
      <c r="G406" s="146">
        <v>0</v>
      </c>
      <c r="H406" s="142">
        <v>0</v>
      </c>
      <c r="I406" s="146">
        <v>0</v>
      </c>
      <c r="J406" s="146">
        <v>0</v>
      </c>
      <c r="K406" s="146">
        <v>0</v>
      </c>
      <c r="L406" s="146">
        <v>0</v>
      </c>
      <c r="M406" s="146">
        <v>0</v>
      </c>
      <c r="N406" s="146">
        <v>0</v>
      </c>
      <c r="O406" s="146">
        <v>0</v>
      </c>
      <c r="P406" s="146">
        <v>0</v>
      </c>
      <c r="Q406" s="146">
        <v>890</v>
      </c>
      <c r="R406" s="146">
        <v>0</v>
      </c>
      <c r="S406" s="140"/>
      <c r="T406" s="7"/>
      <c r="U406" s="8"/>
      <c r="V406" s="7"/>
      <c r="W406" s="8"/>
      <c r="X406" s="7"/>
      <c r="Y406" s="8"/>
      <c r="Z406" s="7"/>
      <c r="AA406" s="8"/>
      <c r="AB406" s="7"/>
      <c r="AC406" s="8"/>
      <c r="AD406" s="7"/>
      <c r="AE406" s="8"/>
      <c r="AF406" s="7"/>
      <c r="AG406" s="8"/>
      <c r="AH406" s="7"/>
    </row>
    <row r="407" spans="1:34" s="3" customFormat="1" ht="11.25" customHeight="1" x14ac:dyDescent="0.15">
      <c r="A407" s="59" t="s">
        <v>229</v>
      </c>
      <c r="B407" s="77">
        <v>1499.62</v>
      </c>
      <c r="C407" s="52"/>
      <c r="D407" s="58"/>
      <c r="E407" s="58">
        <f t="shared" ref="E407" si="117">+B407+C407+D407</f>
        <v>1499.62</v>
      </c>
      <c r="F407" s="138">
        <f t="shared" ref="F407" si="118">SUM(G407:R407)</f>
        <v>1499.62</v>
      </c>
      <c r="G407" s="146">
        <v>0</v>
      </c>
      <c r="H407" s="142">
        <v>0</v>
      </c>
      <c r="I407" s="146">
        <v>0</v>
      </c>
      <c r="J407" s="146">
        <v>0</v>
      </c>
      <c r="K407" s="146">
        <v>602.62</v>
      </c>
      <c r="L407" s="146">
        <v>0</v>
      </c>
      <c r="M407" s="146">
        <v>0</v>
      </c>
      <c r="N407" s="146">
        <v>0</v>
      </c>
      <c r="O407" s="146">
        <v>0</v>
      </c>
      <c r="P407" s="146">
        <v>0</v>
      </c>
      <c r="Q407" s="146">
        <v>897</v>
      </c>
      <c r="R407" s="146">
        <v>0</v>
      </c>
      <c r="S407" s="140"/>
      <c r="T407" s="7"/>
      <c r="U407" s="8"/>
      <c r="V407" s="7"/>
      <c r="W407" s="8"/>
      <c r="X407" s="7"/>
      <c r="Y407" s="8"/>
      <c r="Z407" s="7"/>
      <c r="AA407" s="8"/>
      <c r="AB407" s="7"/>
      <c r="AC407" s="8"/>
      <c r="AD407" s="7"/>
      <c r="AE407" s="8"/>
      <c r="AF407" s="7"/>
      <c r="AG407" s="8"/>
      <c r="AH407" s="7"/>
    </row>
    <row r="408" spans="1:34" x14ac:dyDescent="0.25">
      <c r="A408" s="59" t="s">
        <v>18</v>
      </c>
      <c r="B408" s="58">
        <v>10475.14</v>
      </c>
      <c r="C408" s="58"/>
      <c r="D408" s="58"/>
      <c r="E408" s="58">
        <f t="shared" si="115"/>
        <v>10475.14</v>
      </c>
      <c r="F408" s="138">
        <f t="shared" si="116"/>
        <v>10475.14</v>
      </c>
      <c r="G408" s="138">
        <v>0</v>
      </c>
      <c r="H408" s="138">
        <v>0</v>
      </c>
      <c r="I408" s="138">
        <v>0</v>
      </c>
      <c r="J408" s="138">
        <v>0</v>
      </c>
      <c r="K408" s="138">
        <v>0</v>
      </c>
      <c r="L408" s="138">
        <v>0</v>
      </c>
      <c r="M408" s="138">
        <v>0</v>
      </c>
      <c r="N408" s="138">
        <f>9432.14-457</f>
        <v>8975.14</v>
      </c>
      <c r="O408" s="138">
        <v>0</v>
      </c>
      <c r="P408" s="138">
        <v>0</v>
      </c>
      <c r="Q408" s="138">
        <v>1500</v>
      </c>
      <c r="R408" s="138">
        <v>0</v>
      </c>
      <c r="S408" s="137"/>
    </row>
    <row r="409" spans="1:34" x14ac:dyDescent="0.25">
      <c r="A409" s="59" t="s">
        <v>224</v>
      </c>
      <c r="B409" s="58">
        <v>5778</v>
      </c>
      <c r="C409" s="58"/>
      <c r="D409" s="58"/>
      <c r="E409" s="58">
        <f t="shared" ref="E409" si="119">+B409+C409+D409</f>
        <v>5778</v>
      </c>
      <c r="F409" s="138">
        <f t="shared" ref="F409" si="120">SUM(G409:R409)</f>
        <v>5778</v>
      </c>
      <c r="G409" s="138">
        <v>0</v>
      </c>
      <c r="H409" s="138">
        <v>0</v>
      </c>
      <c r="I409" s="138">
        <v>0</v>
      </c>
      <c r="J409" s="138">
        <v>0</v>
      </c>
      <c r="K409" s="138">
        <v>1075</v>
      </c>
      <c r="L409" s="138">
        <v>0</v>
      </c>
      <c r="M409" s="138">
        <v>935</v>
      </c>
      <c r="N409" s="138">
        <v>0</v>
      </c>
      <c r="O409" s="138">
        <v>268</v>
      </c>
      <c r="P409" s="138">
        <v>0</v>
      </c>
      <c r="Q409" s="138">
        <v>3500</v>
      </c>
      <c r="R409" s="138">
        <v>0</v>
      </c>
      <c r="S409" s="137"/>
    </row>
    <row r="410" spans="1:34" x14ac:dyDescent="0.25">
      <c r="A410" s="59" t="s">
        <v>19</v>
      </c>
      <c r="B410" s="58">
        <v>0</v>
      </c>
      <c r="C410" s="58"/>
      <c r="D410" s="58"/>
      <c r="E410" s="58">
        <f t="shared" si="115"/>
        <v>0</v>
      </c>
      <c r="F410" s="138">
        <f t="shared" si="116"/>
        <v>0</v>
      </c>
      <c r="G410" s="138">
        <v>0</v>
      </c>
      <c r="H410" s="138">
        <v>0</v>
      </c>
      <c r="I410" s="138">
        <v>0</v>
      </c>
      <c r="J410" s="138">
        <v>0</v>
      </c>
      <c r="K410" s="138">
        <v>0</v>
      </c>
      <c r="L410" s="138">
        <v>0</v>
      </c>
      <c r="M410" s="138">
        <v>0</v>
      </c>
      <c r="N410" s="138">
        <v>0</v>
      </c>
      <c r="O410" s="138">
        <v>0</v>
      </c>
      <c r="P410" s="138">
        <v>0</v>
      </c>
      <c r="Q410" s="138">
        <v>0</v>
      </c>
      <c r="R410" s="138">
        <v>0</v>
      </c>
      <c r="S410" s="137"/>
    </row>
    <row r="411" spans="1:34" x14ac:dyDescent="0.25">
      <c r="A411" s="59" t="s">
        <v>240</v>
      </c>
      <c r="B411" s="58">
        <v>313.2</v>
      </c>
      <c r="C411" s="58"/>
      <c r="D411" s="58"/>
      <c r="E411" s="58">
        <f t="shared" ref="E411:E414" si="121">+B411+C411+D411</f>
        <v>313.2</v>
      </c>
      <c r="F411" s="138">
        <f t="shared" ref="F411:F414" si="122">SUM(G411:R411)</f>
        <v>313.2</v>
      </c>
      <c r="G411" s="138">
        <v>0</v>
      </c>
      <c r="H411" s="138">
        <v>0</v>
      </c>
      <c r="I411" s="138">
        <v>0</v>
      </c>
      <c r="J411" s="138">
        <v>0</v>
      </c>
      <c r="K411" s="138">
        <v>0</v>
      </c>
      <c r="L411" s="138">
        <v>0</v>
      </c>
      <c r="M411" s="138">
        <v>0</v>
      </c>
      <c r="N411" s="138">
        <v>313.2</v>
      </c>
      <c r="O411" s="138">
        <v>0</v>
      </c>
      <c r="P411" s="138">
        <v>0</v>
      </c>
      <c r="Q411" s="138">
        <v>0</v>
      </c>
      <c r="R411" s="138">
        <v>0</v>
      </c>
      <c r="S411" s="137"/>
    </row>
    <row r="412" spans="1:34" x14ac:dyDescent="0.25">
      <c r="A412" s="59" t="s">
        <v>225</v>
      </c>
      <c r="B412" s="58">
        <v>2842</v>
      </c>
      <c r="C412" s="58"/>
      <c r="D412" s="58"/>
      <c r="E412" s="58">
        <f t="shared" si="121"/>
        <v>2842</v>
      </c>
      <c r="F412" s="138">
        <f t="shared" si="122"/>
        <v>2842</v>
      </c>
      <c r="G412" s="138">
        <v>0</v>
      </c>
      <c r="H412" s="138">
        <v>0</v>
      </c>
      <c r="I412" s="138">
        <v>0</v>
      </c>
      <c r="J412" s="138">
        <v>0</v>
      </c>
      <c r="K412" s="138">
        <v>0</v>
      </c>
      <c r="L412" s="138">
        <v>0</v>
      </c>
      <c r="M412" s="138">
        <v>2842</v>
      </c>
      <c r="N412" s="138">
        <v>0</v>
      </c>
      <c r="O412" s="138">
        <v>0</v>
      </c>
      <c r="P412" s="138">
        <v>0</v>
      </c>
      <c r="Q412" s="138">
        <v>0</v>
      </c>
      <c r="R412" s="138">
        <v>0</v>
      </c>
      <c r="S412" s="137"/>
    </row>
    <row r="413" spans="1:34" x14ac:dyDescent="0.25">
      <c r="A413" s="59" t="s">
        <v>204</v>
      </c>
      <c r="B413" s="58">
        <v>26608.32</v>
      </c>
      <c r="C413" s="58"/>
      <c r="D413" s="58"/>
      <c r="E413" s="58">
        <f t="shared" si="121"/>
        <v>26608.32</v>
      </c>
      <c r="F413" s="138">
        <f t="shared" si="122"/>
        <v>26608.32</v>
      </c>
      <c r="G413" s="138">
        <v>0</v>
      </c>
      <c r="H413" s="138">
        <v>0</v>
      </c>
      <c r="I413" s="138">
        <v>0</v>
      </c>
      <c r="J413" s="138">
        <v>0</v>
      </c>
      <c r="K413" s="138">
        <v>0</v>
      </c>
      <c r="L413" s="138">
        <f>20309.8-935</f>
        <v>19374.8</v>
      </c>
      <c r="M413" s="138">
        <v>0</v>
      </c>
      <c r="N413" s="138">
        <v>1476.79</v>
      </c>
      <c r="O413" s="138">
        <v>76.73</v>
      </c>
      <c r="P413" s="138">
        <v>0</v>
      </c>
      <c r="Q413" s="138">
        <v>2980</v>
      </c>
      <c r="R413" s="138">
        <v>2700</v>
      </c>
      <c r="S413" s="137"/>
    </row>
    <row r="414" spans="1:34" x14ac:dyDescent="0.25">
      <c r="A414" s="59" t="s">
        <v>228</v>
      </c>
      <c r="B414" s="58">
        <v>776.04</v>
      </c>
      <c r="C414" s="58"/>
      <c r="D414" s="58"/>
      <c r="E414" s="58">
        <f t="shared" si="121"/>
        <v>776.04</v>
      </c>
      <c r="F414" s="138">
        <f t="shared" si="122"/>
        <v>776.04</v>
      </c>
      <c r="G414" s="138">
        <v>0</v>
      </c>
      <c r="H414" s="138">
        <v>0</v>
      </c>
      <c r="I414" s="138">
        <v>0</v>
      </c>
      <c r="J414" s="138">
        <v>0</v>
      </c>
      <c r="K414" s="138">
        <v>776.04</v>
      </c>
      <c r="L414" s="138">
        <v>0</v>
      </c>
      <c r="M414" s="138">
        <v>0</v>
      </c>
      <c r="N414" s="138">
        <v>0</v>
      </c>
      <c r="O414" s="138">
        <v>0</v>
      </c>
      <c r="P414" s="138">
        <v>0</v>
      </c>
      <c r="Q414" s="138">
        <v>0</v>
      </c>
      <c r="R414" s="138">
        <v>0</v>
      </c>
      <c r="S414" s="137"/>
    </row>
    <row r="415" spans="1:34" x14ac:dyDescent="0.25">
      <c r="A415" s="59" t="s">
        <v>10</v>
      </c>
      <c r="B415" s="58">
        <v>480</v>
      </c>
      <c r="C415" s="58"/>
      <c r="D415" s="58"/>
      <c r="E415" s="58">
        <f t="shared" si="115"/>
        <v>480</v>
      </c>
      <c r="F415" s="138">
        <f t="shared" si="116"/>
        <v>480</v>
      </c>
      <c r="G415" s="138">
        <v>0</v>
      </c>
      <c r="H415" s="138">
        <v>0</v>
      </c>
      <c r="I415" s="138">
        <v>0</v>
      </c>
      <c r="J415" s="138">
        <v>0</v>
      </c>
      <c r="K415" s="138">
        <v>0</v>
      </c>
      <c r="L415" s="138">
        <v>0</v>
      </c>
      <c r="M415" s="138">
        <v>0</v>
      </c>
      <c r="N415" s="138">
        <v>0</v>
      </c>
      <c r="O415" s="138">
        <v>0</v>
      </c>
      <c r="P415" s="138">
        <v>0</v>
      </c>
      <c r="Q415" s="138">
        <v>480</v>
      </c>
      <c r="R415" s="138">
        <v>0</v>
      </c>
      <c r="S415" s="137"/>
    </row>
    <row r="416" spans="1:34" x14ac:dyDescent="0.25">
      <c r="A416" s="59" t="s">
        <v>11</v>
      </c>
      <c r="B416" s="58">
        <v>3820.99</v>
      </c>
      <c r="C416" s="58"/>
      <c r="D416" s="58"/>
      <c r="E416" s="58">
        <f t="shared" si="115"/>
        <v>3820.99</v>
      </c>
      <c r="F416" s="138">
        <f t="shared" si="116"/>
        <v>3820.99</v>
      </c>
      <c r="G416" s="138">
        <v>0</v>
      </c>
      <c r="H416" s="138">
        <v>0</v>
      </c>
      <c r="I416" s="138">
        <v>0</v>
      </c>
      <c r="J416" s="138">
        <v>0</v>
      </c>
      <c r="K416" s="138">
        <v>6000</v>
      </c>
      <c r="L416" s="138">
        <v>-6000</v>
      </c>
      <c r="M416" s="138">
        <v>0</v>
      </c>
      <c r="N416" s="138">
        <v>1950.99</v>
      </c>
      <c r="O416" s="138">
        <v>0</v>
      </c>
      <c r="P416" s="138">
        <v>0</v>
      </c>
      <c r="Q416" s="138">
        <v>1870</v>
      </c>
      <c r="R416" s="138">
        <v>0</v>
      </c>
      <c r="S416" s="137"/>
    </row>
    <row r="417" spans="1:34" x14ac:dyDescent="0.25">
      <c r="A417" s="59" t="s">
        <v>12</v>
      </c>
      <c r="B417" s="58">
        <v>197.2</v>
      </c>
      <c r="C417" s="58"/>
      <c r="D417" s="58"/>
      <c r="E417" s="58">
        <f t="shared" si="115"/>
        <v>197.2</v>
      </c>
      <c r="F417" s="138">
        <f t="shared" si="116"/>
        <v>197.2</v>
      </c>
      <c r="G417" s="138">
        <v>0</v>
      </c>
      <c r="H417" s="138">
        <v>0</v>
      </c>
      <c r="I417" s="138">
        <v>0</v>
      </c>
      <c r="J417" s="138">
        <v>0</v>
      </c>
      <c r="K417" s="138">
        <v>0</v>
      </c>
      <c r="L417" s="138">
        <v>0</v>
      </c>
      <c r="M417" s="138">
        <v>0</v>
      </c>
      <c r="N417" s="138">
        <v>197.2</v>
      </c>
      <c r="O417" s="138">
        <v>0</v>
      </c>
      <c r="P417" s="138">
        <v>0</v>
      </c>
      <c r="Q417" s="138">
        <v>0</v>
      </c>
      <c r="R417" s="138">
        <v>0</v>
      </c>
      <c r="S417" s="137"/>
    </row>
    <row r="418" spans="1:34" x14ac:dyDescent="0.25">
      <c r="A418" s="117" t="s">
        <v>171</v>
      </c>
      <c r="B418" s="58">
        <v>0</v>
      </c>
      <c r="C418" s="63"/>
      <c r="D418" s="58"/>
      <c r="E418" s="58">
        <f t="shared" si="115"/>
        <v>0</v>
      </c>
      <c r="F418" s="138">
        <f t="shared" si="116"/>
        <v>0</v>
      </c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7"/>
    </row>
    <row r="419" spans="1:34" x14ac:dyDescent="0.25">
      <c r="F419" s="138" t="s">
        <v>75</v>
      </c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7"/>
    </row>
    <row r="420" spans="1:34" ht="18.75" x14ac:dyDescent="0.4">
      <c r="A420" s="32" t="s">
        <v>111</v>
      </c>
      <c r="B420" s="40"/>
      <c r="C420" s="40"/>
      <c r="D420" s="40"/>
      <c r="E420" s="51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7"/>
    </row>
    <row r="421" spans="1:34" x14ac:dyDescent="0.25">
      <c r="A421" s="59"/>
      <c r="B421" s="58"/>
      <c r="C421" s="58"/>
      <c r="D421" s="58"/>
      <c r="E421" s="58">
        <f t="shared" ref="E421:E422" si="123">+B421+C421+D421</f>
        <v>0</v>
      </c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7"/>
    </row>
    <row r="422" spans="1:34" x14ac:dyDescent="0.25">
      <c r="A422" s="59"/>
      <c r="B422" s="58"/>
      <c r="C422" s="58"/>
      <c r="D422" s="58"/>
      <c r="E422" s="58">
        <f t="shared" si="123"/>
        <v>0</v>
      </c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7"/>
    </row>
    <row r="423" spans="1:34" ht="18.75" x14ac:dyDescent="0.4">
      <c r="A423" s="32" t="s">
        <v>112</v>
      </c>
      <c r="B423" s="40"/>
      <c r="C423" s="40"/>
      <c r="D423" s="40"/>
      <c r="E423" s="51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7"/>
    </row>
    <row r="424" spans="1:34" x14ac:dyDescent="0.25">
      <c r="A424" s="60" t="s">
        <v>124</v>
      </c>
      <c r="B424" s="58">
        <v>304000</v>
      </c>
      <c r="C424" s="58"/>
      <c r="D424" s="58"/>
      <c r="E424" s="58">
        <f t="shared" ref="E424:E425" si="124">+B424+C424+D424</f>
        <v>304000</v>
      </c>
      <c r="F424" s="138">
        <f t="shared" ref="F424" si="125">SUM(G424:R424)</f>
        <v>304000</v>
      </c>
      <c r="G424" s="138">
        <v>0</v>
      </c>
      <c r="H424" s="138">
        <v>0</v>
      </c>
      <c r="I424" s="138">
        <v>0</v>
      </c>
      <c r="J424" s="138">
        <v>0</v>
      </c>
      <c r="K424" s="138">
        <v>0</v>
      </c>
      <c r="L424" s="138">
        <v>304000</v>
      </c>
      <c r="M424" s="138">
        <v>0</v>
      </c>
      <c r="N424" s="138">
        <v>0</v>
      </c>
      <c r="O424" s="138">
        <v>0</v>
      </c>
      <c r="P424" s="138">
        <v>0</v>
      </c>
      <c r="Q424" s="138">
        <v>0</v>
      </c>
      <c r="R424" s="138">
        <v>0</v>
      </c>
      <c r="S424" s="137"/>
    </row>
    <row r="425" spans="1:34" x14ac:dyDescent="0.25">
      <c r="A425" s="60" t="s">
        <v>75</v>
      </c>
      <c r="B425" s="61">
        <v>0</v>
      </c>
      <c r="C425" s="58"/>
      <c r="D425" s="58"/>
      <c r="E425" s="58">
        <f t="shared" si="124"/>
        <v>0</v>
      </c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7"/>
    </row>
    <row r="426" spans="1:34" ht="18.75" x14ac:dyDescent="0.4">
      <c r="A426" s="34" t="s">
        <v>113</v>
      </c>
      <c r="B426" s="40"/>
      <c r="C426" s="40"/>
      <c r="D426" s="40"/>
      <c r="E426" s="51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7"/>
    </row>
    <row r="427" spans="1:34" x14ac:dyDescent="0.25">
      <c r="A427" s="59"/>
      <c r="B427" s="58"/>
      <c r="C427" s="58"/>
      <c r="D427" s="58"/>
      <c r="E427" s="58">
        <f t="shared" ref="E427" si="126">+B427+C427+D427</f>
        <v>0</v>
      </c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7"/>
    </row>
    <row r="428" spans="1:34" x14ac:dyDescent="0.25"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7"/>
    </row>
    <row r="429" spans="1:34" x14ac:dyDescent="0.25"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7"/>
    </row>
    <row r="430" spans="1:34" x14ac:dyDescent="0.25"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7"/>
    </row>
    <row r="431" spans="1:34" ht="15.75" x14ac:dyDescent="0.3">
      <c r="A431" s="171" t="s">
        <v>44</v>
      </c>
      <c r="B431" s="171"/>
      <c r="C431" s="171"/>
      <c r="D431" s="171"/>
      <c r="E431" s="171"/>
      <c r="F431" s="152"/>
      <c r="G431" s="152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7"/>
    </row>
    <row r="432" spans="1:34" s="20" customFormat="1" ht="18.75" x14ac:dyDescent="0.4">
      <c r="A432" s="19"/>
      <c r="B432" s="45"/>
      <c r="C432" s="45"/>
      <c r="D432" s="45"/>
      <c r="E432" s="45"/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45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</row>
    <row r="433" spans="1:34" s="20" customFormat="1" ht="30" x14ac:dyDescent="0.4">
      <c r="A433" s="33" t="s">
        <v>105</v>
      </c>
      <c r="B433" s="38" t="s">
        <v>106</v>
      </c>
      <c r="C433" s="38" t="s">
        <v>107</v>
      </c>
      <c r="D433" s="38" t="s">
        <v>108</v>
      </c>
      <c r="E433" s="38" t="s">
        <v>109</v>
      </c>
      <c r="F433" s="156"/>
      <c r="G433" s="38" t="s">
        <v>192</v>
      </c>
      <c r="H433" s="38" t="s">
        <v>193</v>
      </c>
      <c r="I433" s="38" t="s">
        <v>194</v>
      </c>
      <c r="J433" s="38" t="s">
        <v>195</v>
      </c>
      <c r="K433" s="38" t="s">
        <v>196</v>
      </c>
      <c r="L433" s="38" t="s">
        <v>197</v>
      </c>
      <c r="M433" s="38" t="s">
        <v>198</v>
      </c>
      <c r="N433" s="38" t="s">
        <v>199</v>
      </c>
      <c r="O433" s="38" t="s">
        <v>200</v>
      </c>
      <c r="P433" s="38" t="s">
        <v>201</v>
      </c>
      <c r="Q433" s="38" t="s">
        <v>202</v>
      </c>
      <c r="R433" s="38" t="s">
        <v>203</v>
      </c>
      <c r="S433" s="145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</row>
    <row r="434" spans="1:34" s="20" customFormat="1" ht="18.75" x14ac:dyDescent="0.4">
      <c r="A434" s="32" t="s">
        <v>110</v>
      </c>
      <c r="B434" s="37">
        <f>SUM(B435:B447)</f>
        <v>436984.74</v>
      </c>
      <c r="C434" s="37">
        <f t="shared" ref="C434:E434" si="127">SUM(C435:C447)</f>
        <v>0</v>
      </c>
      <c r="D434" s="37">
        <f t="shared" si="127"/>
        <v>0</v>
      </c>
      <c r="E434" s="37">
        <f t="shared" si="127"/>
        <v>436984.74</v>
      </c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  <c r="R434" s="156"/>
      <c r="S434" s="145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</row>
    <row r="435" spans="1:34" s="3" customFormat="1" ht="11.25" customHeight="1" x14ac:dyDescent="0.15">
      <c r="A435" s="59" t="s">
        <v>1</v>
      </c>
      <c r="B435" s="77">
        <v>10769.27</v>
      </c>
      <c r="C435" s="52"/>
      <c r="D435" s="58"/>
      <c r="E435" s="58">
        <f t="shared" ref="E435" si="128">+B435+C435+D435</f>
        <v>10769.27</v>
      </c>
      <c r="F435" s="138">
        <f t="shared" ref="F435" si="129">SUM(G435:R435)</f>
        <v>10769.27</v>
      </c>
      <c r="G435" s="146">
        <v>0</v>
      </c>
      <c r="H435" s="142">
        <v>0</v>
      </c>
      <c r="I435" s="146">
        <v>0</v>
      </c>
      <c r="J435" s="146">
        <v>0</v>
      </c>
      <c r="K435" s="146">
        <v>0</v>
      </c>
      <c r="L435" s="146">
        <v>0</v>
      </c>
      <c r="M435" s="146">
        <v>0</v>
      </c>
      <c r="N435" s="146">
        <v>110.2</v>
      </c>
      <c r="O435" s="146">
        <v>5679.07</v>
      </c>
      <c r="P435" s="146">
        <v>1500</v>
      </c>
      <c r="Q435" s="146">
        <v>2500</v>
      </c>
      <c r="R435" s="146">
        <v>980</v>
      </c>
      <c r="S435" s="140"/>
      <c r="T435" s="7"/>
      <c r="U435" s="8"/>
      <c r="V435" s="7"/>
      <c r="W435" s="8"/>
      <c r="X435" s="7"/>
      <c r="Y435" s="8"/>
      <c r="Z435" s="7"/>
      <c r="AA435" s="8"/>
      <c r="AB435" s="7"/>
      <c r="AC435" s="8"/>
      <c r="AD435" s="7"/>
      <c r="AE435" s="8"/>
      <c r="AF435" s="7"/>
      <c r="AG435" s="8"/>
      <c r="AH435" s="7"/>
    </row>
    <row r="436" spans="1:34" s="3" customFormat="1" ht="11.25" customHeight="1" x14ac:dyDescent="0.15">
      <c r="A436" s="59" t="s">
        <v>3</v>
      </c>
      <c r="B436" s="77">
        <v>4062.99</v>
      </c>
      <c r="C436" s="52"/>
      <c r="D436" s="58"/>
      <c r="E436" s="58">
        <f t="shared" ref="E436:E438" si="130">+B436+C436+D436</f>
        <v>4062.99</v>
      </c>
      <c r="F436" s="138">
        <f t="shared" ref="F436:F438" si="131">SUM(G436:R436)</f>
        <v>4062.99</v>
      </c>
      <c r="G436" s="146">
        <v>0</v>
      </c>
      <c r="H436" s="142">
        <v>0</v>
      </c>
      <c r="I436" s="146">
        <v>0</v>
      </c>
      <c r="J436" s="146">
        <v>0</v>
      </c>
      <c r="K436" s="146">
        <v>0</v>
      </c>
      <c r="L436" s="146">
        <v>77.989999999999995</v>
      </c>
      <c r="M436" s="146">
        <v>0</v>
      </c>
      <c r="N436" s="146">
        <v>0</v>
      </c>
      <c r="O436" s="146">
        <v>0</v>
      </c>
      <c r="P436" s="146">
        <v>1800</v>
      </c>
      <c r="Q436" s="146">
        <v>1780</v>
      </c>
      <c r="R436" s="146">
        <v>405</v>
      </c>
      <c r="S436" s="140"/>
      <c r="T436" s="7"/>
      <c r="U436" s="8"/>
      <c r="V436" s="7"/>
      <c r="W436" s="8"/>
      <c r="X436" s="7"/>
      <c r="Y436" s="8"/>
      <c r="Z436" s="7"/>
      <c r="AA436" s="8"/>
      <c r="AB436" s="7"/>
      <c r="AC436" s="8"/>
      <c r="AD436" s="7"/>
      <c r="AE436" s="8"/>
      <c r="AF436" s="7"/>
      <c r="AG436" s="8"/>
      <c r="AH436" s="7"/>
    </row>
    <row r="437" spans="1:34" x14ac:dyDescent="0.25">
      <c r="A437" s="59" t="s">
        <v>10</v>
      </c>
      <c r="B437" s="58">
        <v>2100</v>
      </c>
      <c r="C437" s="58"/>
      <c r="D437" s="58"/>
      <c r="E437" s="58">
        <f t="shared" si="130"/>
        <v>2100</v>
      </c>
      <c r="F437" s="138">
        <f t="shared" si="131"/>
        <v>2100</v>
      </c>
      <c r="G437" s="138">
        <v>0</v>
      </c>
      <c r="H437" s="138">
        <v>0</v>
      </c>
      <c r="I437" s="138">
        <v>0</v>
      </c>
      <c r="J437" s="138">
        <v>0</v>
      </c>
      <c r="K437" s="138">
        <v>0</v>
      </c>
      <c r="L437" s="138">
        <v>1400</v>
      </c>
      <c r="M437" s="138">
        <v>0</v>
      </c>
      <c r="N437" s="138">
        <v>0</v>
      </c>
      <c r="O437" s="138">
        <v>0</v>
      </c>
      <c r="P437" s="138">
        <v>500</v>
      </c>
      <c r="Q437" s="138">
        <v>200</v>
      </c>
      <c r="R437" s="138">
        <v>0</v>
      </c>
      <c r="S437" s="137"/>
    </row>
    <row r="438" spans="1:34" x14ac:dyDescent="0.25">
      <c r="A438" s="59" t="s">
        <v>172</v>
      </c>
      <c r="B438" s="58">
        <v>1552.48</v>
      </c>
      <c r="C438" s="58"/>
      <c r="D438" s="58"/>
      <c r="E438" s="58">
        <f t="shared" si="130"/>
        <v>1552.48</v>
      </c>
      <c r="F438" s="138">
        <f t="shared" si="131"/>
        <v>1552.48</v>
      </c>
      <c r="G438" s="138">
        <v>0</v>
      </c>
      <c r="H438" s="138">
        <v>0</v>
      </c>
      <c r="I438" s="138">
        <v>0</v>
      </c>
      <c r="J438" s="138">
        <v>0</v>
      </c>
      <c r="K438" s="138">
        <v>0</v>
      </c>
      <c r="L438" s="138">
        <v>212.48</v>
      </c>
      <c r="M438" s="138">
        <v>0</v>
      </c>
      <c r="N438" s="138">
        <v>0</v>
      </c>
      <c r="O438" s="138">
        <v>0</v>
      </c>
      <c r="P438" s="138">
        <v>0</v>
      </c>
      <c r="Q438" s="138">
        <v>870</v>
      </c>
      <c r="R438" s="138">
        <v>470</v>
      </c>
      <c r="S438" s="137"/>
    </row>
    <row r="439" spans="1:34" x14ac:dyDescent="0.25">
      <c r="A439" s="9"/>
      <c r="B439" s="40"/>
      <c r="C439" s="40"/>
      <c r="D439" s="40"/>
      <c r="E439" s="51"/>
      <c r="F439" s="138" t="s">
        <v>75</v>
      </c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7"/>
    </row>
    <row r="440" spans="1:34" ht="18.75" x14ac:dyDescent="0.4">
      <c r="A440" s="32" t="s">
        <v>111</v>
      </c>
      <c r="B440" s="40"/>
      <c r="C440" s="40"/>
      <c r="D440" s="40"/>
      <c r="E440" s="51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7"/>
    </row>
    <row r="441" spans="1:34" x14ac:dyDescent="0.25">
      <c r="A441" s="59"/>
      <c r="B441" s="58"/>
      <c r="C441" s="58"/>
      <c r="D441" s="58"/>
      <c r="E441" s="58">
        <f t="shared" ref="E441:E442" si="132">+B441+C441+D441</f>
        <v>0</v>
      </c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7"/>
    </row>
    <row r="442" spans="1:34" x14ac:dyDescent="0.25">
      <c r="A442" s="59"/>
      <c r="B442" s="58"/>
      <c r="C442" s="58"/>
      <c r="D442" s="58"/>
      <c r="E442" s="58">
        <f t="shared" si="132"/>
        <v>0</v>
      </c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7"/>
    </row>
    <row r="443" spans="1:34" ht="18.75" x14ac:dyDescent="0.4">
      <c r="A443" s="32" t="s">
        <v>112</v>
      </c>
      <c r="B443" s="40"/>
      <c r="C443" s="40"/>
      <c r="D443" s="40"/>
      <c r="E443" s="51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7"/>
    </row>
    <row r="444" spans="1:34" x14ac:dyDescent="0.25">
      <c r="A444" s="60" t="s">
        <v>124</v>
      </c>
      <c r="B444" s="58">
        <v>418500</v>
      </c>
      <c r="C444" s="58"/>
      <c r="D444" s="58"/>
      <c r="E444" s="58">
        <f t="shared" ref="E444:E445" si="133">+B444+C444+D444</f>
        <v>418500</v>
      </c>
      <c r="F444" s="138">
        <f t="shared" ref="F444" si="134">SUM(G444:R444)</f>
        <v>0</v>
      </c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7"/>
    </row>
    <row r="445" spans="1:34" x14ac:dyDescent="0.25">
      <c r="A445" s="60" t="s">
        <v>75</v>
      </c>
      <c r="B445" s="61">
        <v>0</v>
      </c>
      <c r="C445" s="58"/>
      <c r="D445" s="58"/>
      <c r="E445" s="58">
        <f t="shared" si="133"/>
        <v>0</v>
      </c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7"/>
    </row>
    <row r="446" spans="1:34" ht="18.75" x14ac:dyDescent="0.4">
      <c r="A446" s="34" t="s">
        <v>113</v>
      </c>
      <c r="B446" s="40"/>
      <c r="C446" s="40"/>
      <c r="D446" s="40"/>
      <c r="E446" s="51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7"/>
    </row>
    <row r="447" spans="1:34" x14ac:dyDescent="0.25">
      <c r="A447" s="59"/>
      <c r="B447" s="58"/>
      <c r="C447" s="58"/>
      <c r="D447" s="58"/>
      <c r="E447" s="58">
        <f t="shared" ref="E447" si="135">+B447+C447+D447</f>
        <v>0</v>
      </c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7"/>
    </row>
    <row r="448" spans="1:34" x14ac:dyDescent="0.25">
      <c r="A448" s="9"/>
      <c r="B448" s="40"/>
      <c r="C448" s="40"/>
      <c r="D448" s="40"/>
      <c r="E448" s="51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7"/>
    </row>
    <row r="449" spans="1:34" x14ac:dyDescent="0.25">
      <c r="A449" s="9"/>
      <c r="B449" s="40"/>
      <c r="C449" s="40"/>
      <c r="D449" s="40"/>
      <c r="E449" s="51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7"/>
    </row>
    <row r="450" spans="1:34" x14ac:dyDescent="0.25">
      <c r="A450" s="174" t="s">
        <v>45</v>
      </c>
      <c r="B450" s="174"/>
      <c r="C450" s="174"/>
      <c r="D450" s="174"/>
      <c r="E450" s="174"/>
      <c r="F450" s="152"/>
      <c r="G450" s="152"/>
      <c r="H450" s="152"/>
      <c r="I450" s="152"/>
      <c r="J450" s="138"/>
      <c r="K450" s="138"/>
      <c r="L450" s="138"/>
      <c r="M450" s="138"/>
      <c r="N450" s="138"/>
      <c r="O450" s="138"/>
      <c r="P450" s="138"/>
      <c r="Q450" s="138"/>
      <c r="R450" s="138"/>
      <c r="S450" s="137"/>
    </row>
    <row r="451" spans="1:34" s="20" customFormat="1" ht="18.75" x14ac:dyDescent="0.4">
      <c r="A451" s="19"/>
      <c r="B451" s="45"/>
      <c r="C451" s="45"/>
      <c r="D451" s="45"/>
      <c r="E451" s="45"/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  <c r="P451" s="156"/>
      <c r="Q451" s="156"/>
      <c r="R451" s="156"/>
      <c r="S451" s="145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</row>
    <row r="452" spans="1:34" s="20" customFormat="1" ht="30" x14ac:dyDescent="0.4">
      <c r="A452" s="33" t="s">
        <v>105</v>
      </c>
      <c r="B452" s="38" t="s">
        <v>106</v>
      </c>
      <c r="C452" s="38" t="s">
        <v>107</v>
      </c>
      <c r="D452" s="38" t="s">
        <v>108</v>
      </c>
      <c r="E452" s="38" t="s">
        <v>109</v>
      </c>
      <c r="F452" s="156"/>
      <c r="G452" s="38" t="s">
        <v>192</v>
      </c>
      <c r="H452" s="38" t="s">
        <v>193</v>
      </c>
      <c r="I452" s="38" t="s">
        <v>194</v>
      </c>
      <c r="J452" s="38" t="s">
        <v>195</v>
      </c>
      <c r="K452" s="38" t="s">
        <v>196</v>
      </c>
      <c r="L452" s="38" t="s">
        <v>197</v>
      </c>
      <c r="M452" s="38" t="s">
        <v>198</v>
      </c>
      <c r="N452" s="38" t="s">
        <v>199</v>
      </c>
      <c r="O452" s="38" t="s">
        <v>200</v>
      </c>
      <c r="P452" s="38" t="s">
        <v>201</v>
      </c>
      <c r="Q452" s="38" t="s">
        <v>202</v>
      </c>
      <c r="R452" s="38" t="s">
        <v>203</v>
      </c>
      <c r="S452" s="145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</row>
    <row r="453" spans="1:34" s="20" customFormat="1" ht="18.75" x14ac:dyDescent="0.4">
      <c r="A453" s="32" t="s">
        <v>110</v>
      </c>
      <c r="B453" s="37">
        <f>SUM(B454:B471)</f>
        <v>21092.129999999997</v>
      </c>
      <c r="C453" s="37">
        <f t="shared" ref="C453:E453" si="136">SUM(C454:C471)</f>
        <v>0</v>
      </c>
      <c r="D453" s="37">
        <f t="shared" si="136"/>
        <v>0</v>
      </c>
      <c r="E453" s="37">
        <f t="shared" si="136"/>
        <v>21092.129999999997</v>
      </c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  <c r="P453" s="156"/>
      <c r="Q453" s="156"/>
      <c r="R453" s="156"/>
      <c r="S453" s="145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</row>
    <row r="454" spans="1:34" s="3" customFormat="1" ht="11.25" customHeight="1" x14ac:dyDescent="0.15">
      <c r="A454" s="59" t="s">
        <v>1</v>
      </c>
      <c r="B454" s="58">
        <v>6629.2800000000007</v>
      </c>
      <c r="C454" s="58"/>
      <c r="D454" s="58"/>
      <c r="E454" s="58">
        <f t="shared" ref="E454:E462" si="137">+B454+C454+D454</f>
        <v>6629.2800000000007</v>
      </c>
      <c r="F454" s="138">
        <f t="shared" ref="F454:F462" si="138">SUM(G454:R454)</f>
        <v>6629.2800000000007</v>
      </c>
      <c r="G454" s="138">
        <v>0</v>
      </c>
      <c r="H454" s="138">
        <v>0</v>
      </c>
      <c r="I454" s="138">
        <v>0</v>
      </c>
      <c r="J454" s="138">
        <v>0</v>
      </c>
      <c r="K454" s="138">
        <v>1759.4</v>
      </c>
      <c r="L454" s="138">
        <v>508.68</v>
      </c>
      <c r="M454" s="138">
        <v>727.32</v>
      </c>
      <c r="N454" s="138">
        <v>394.4</v>
      </c>
      <c r="O454" s="138">
        <v>699.48</v>
      </c>
      <c r="P454" s="138">
        <v>800</v>
      </c>
      <c r="Q454" s="138">
        <v>1200</v>
      </c>
      <c r="R454" s="138">
        <v>540</v>
      </c>
      <c r="S454" s="139"/>
      <c r="U454" s="4"/>
      <c r="W454" s="4"/>
      <c r="Y454" s="4"/>
      <c r="AA454" s="4"/>
      <c r="AC454" s="4"/>
      <c r="AE454" s="4"/>
      <c r="AG454" s="4"/>
    </row>
    <row r="455" spans="1:34" s="3" customFormat="1" ht="11.25" customHeight="1" x14ac:dyDescent="0.15">
      <c r="A455" s="59" t="s">
        <v>241</v>
      </c>
      <c r="B455" s="58">
        <v>290</v>
      </c>
      <c r="C455" s="58"/>
      <c r="D455" s="58"/>
      <c r="E455" s="58">
        <f t="shared" ref="E455" si="139">+B455+C455+D455</f>
        <v>290</v>
      </c>
      <c r="F455" s="138">
        <f t="shared" ref="F455" si="140">SUM(G455:R455)</f>
        <v>290</v>
      </c>
      <c r="G455" s="138">
        <v>0</v>
      </c>
      <c r="H455" s="138">
        <v>0</v>
      </c>
      <c r="I455" s="138">
        <v>0</v>
      </c>
      <c r="J455" s="138">
        <v>0</v>
      </c>
      <c r="K455" s="138">
        <v>0</v>
      </c>
      <c r="L455" s="138">
        <v>0</v>
      </c>
      <c r="M455" s="138">
        <v>0</v>
      </c>
      <c r="N455" s="138">
        <v>290</v>
      </c>
      <c r="O455" s="138">
        <v>0</v>
      </c>
      <c r="P455" s="138">
        <v>0</v>
      </c>
      <c r="Q455" s="138">
        <v>0</v>
      </c>
      <c r="R455" s="138">
        <v>0</v>
      </c>
      <c r="S455" s="139"/>
      <c r="U455" s="4"/>
      <c r="W455" s="4"/>
      <c r="Y455" s="4"/>
      <c r="AA455" s="4"/>
      <c r="AC455" s="4"/>
      <c r="AE455" s="4"/>
      <c r="AG455" s="4"/>
    </row>
    <row r="456" spans="1:34" s="3" customFormat="1" ht="11.25" customHeight="1" x14ac:dyDescent="0.15">
      <c r="A456" s="59" t="s">
        <v>229</v>
      </c>
      <c r="B456" s="58">
        <v>107.88</v>
      </c>
      <c r="C456" s="58"/>
      <c r="D456" s="58"/>
      <c r="E456" s="58">
        <f t="shared" ref="E456" si="141">+B456+C456+D456</f>
        <v>107.88</v>
      </c>
      <c r="F456" s="138">
        <f t="shared" ref="F456" si="142">SUM(G456:R456)</f>
        <v>107.88</v>
      </c>
      <c r="G456" s="138">
        <v>0</v>
      </c>
      <c r="H456" s="138">
        <v>0</v>
      </c>
      <c r="I456" s="138">
        <v>0</v>
      </c>
      <c r="J456" s="138">
        <v>107.88</v>
      </c>
      <c r="K456" s="138">
        <v>0</v>
      </c>
      <c r="L456" s="138">
        <v>0</v>
      </c>
      <c r="M456" s="138">
        <v>0</v>
      </c>
      <c r="N456" s="138">
        <v>0</v>
      </c>
      <c r="O456" s="138">
        <v>0</v>
      </c>
      <c r="P456" s="138">
        <v>0</v>
      </c>
      <c r="Q456" s="138">
        <v>0</v>
      </c>
      <c r="R456" s="138">
        <v>0</v>
      </c>
      <c r="S456" s="139"/>
      <c r="U456" s="4"/>
      <c r="W456" s="4"/>
      <c r="Y456" s="4"/>
      <c r="AA456" s="4"/>
      <c r="AC456" s="4"/>
      <c r="AE456" s="4"/>
      <c r="AG456" s="4"/>
    </row>
    <row r="457" spans="1:34" x14ac:dyDescent="0.25">
      <c r="A457" s="59" t="s">
        <v>39</v>
      </c>
      <c r="B457" s="58">
        <v>10131.84</v>
      </c>
      <c r="C457" s="58"/>
      <c r="D457" s="58"/>
      <c r="E457" s="58">
        <f t="shared" si="137"/>
        <v>10131.84</v>
      </c>
      <c r="F457" s="138">
        <f t="shared" si="138"/>
        <v>10131.84</v>
      </c>
      <c r="G457" s="138">
        <v>0</v>
      </c>
      <c r="H457" s="138">
        <v>0</v>
      </c>
      <c r="I457" s="138">
        <v>0</v>
      </c>
      <c r="J457" s="138">
        <v>0</v>
      </c>
      <c r="K457" s="138">
        <f>15000-8368.16</f>
        <v>6631.84</v>
      </c>
      <c r="L457" s="138">
        <v>0</v>
      </c>
      <c r="M457" s="138">
        <v>0</v>
      </c>
      <c r="N457" s="138">
        <v>0</v>
      </c>
      <c r="O457" s="138">
        <v>0</v>
      </c>
      <c r="P457" s="138">
        <v>0</v>
      </c>
      <c r="Q457" s="138">
        <v>3500</v>
      </c>
      <c r="R457" s="138">
        <v>0</v>
      </c>
      <c r="S457" s="137"/>
    </row>
    <row r="458" spans="1:34" x14ac:dyDescent="0.25">
      <c r="A458" s="59" t="s">
        <v>18</v>
      </c>
      <c r="B458" s="58">
        <v>487</v>
      </c>
      <c r="C458" s="58"/>
      <c r="D458" s="58"/>
      <c r="E458" s="58">
        <f t="shared" si="137"/>
        <v>487</v>
      </c>
      <c r="F458" s="138">
        <f t="shared" si="138"/>
        <v>487</v>
      </c>
      <c r="G458" s="138">
        <v>0</v>
      </c>
      <c r="H458" s="138">
        <v>0</v>
      </c>
      <c r="I458" s="138">
        <v>0</v>
      </c>
      <c r="J458" s="138">
        <v>0</v>
      </c>
      <c r="K458" s="138">
        <v>0</v>
      </c>
      <c r="L458" s="138">
        <v>0</v>
      </c>
      <c r="M458" s="138">
        <v>0</v>
      </c>
      <c r="N458" s="138">
        <v>0</v>
      </c>
      <c r="O458" s="138">
        <v>0</v>
      </c>
      <c r="P458" s="138">
        <v>387</v>
      </c>
      <c r="Q458" s="138">
        <v>100</v>
      </c>
      <c r="R458" s="138">
        <v>0</v>
      </c>
      <c r="S458" s="137"/>
    </row>
    <row r="459" spans="1:34" x14ac:dyDescent="0.25">
      <c r="A459" s="59" t="s">
        <v>125</v>
      </c>
      <c r="B459" s="58">
        <v>2590.92</v>
      </c>
      <c r="C459" s="58"/>
      <c r="D459" s="58"/>
      <c r="E459" s="58">
        <f t="shared" si="137"/>
        <v>2590.92</v>
      </c>
      <c r="F459" s="138">
        <f t="shared" si="138"/>
        <v>2590.92</v>
      </c>
      <c r="G459" s="138">
        <v>0</v>
      </c>
      <c r="H459" s="138">
        <v>0</v>
      </c>
      <c r="I459" s="138">
        <v>0</v>
      </c>
      <c r="J459" s="138">
        <v>0</v>
      </c>
      <c r="K459" s="138">
        <f>2544-238.68-684.4</f>
        <v>1620.92</v>
      </c>
      <c r="L459" s="138">
        <v>0</v>
      </c>
      <c r="M459" s="138">
        <v>0</v>
      </c>
      <c r="N459" s="138">
        <v>0</v>
      </c>
      <c r="O459" s="138">
        <v>0</v>
      </c>
      <c r="P459" s="138">
        <v>0</v>
      </c>
      <c r="Q459" s="138">
        <v>970</v>
      </c>
      <c r="R459" s="138">
        <v>0</v>
      </c>
      <c r="S459" s="137"/>
    </row>
    <row r="460" spans="1:34" x14ac:dyDescent="0.25">
      <c r="A460" s="59" t="s">
        <v>228</v>
      </c>
      <c r="B460" s="58">
        <v>155.21</v>
      </c>
      <c r="C460" s="58"/>
      <c r="D460" s="58"/>
      <c r="E460" s="58">
        <f t="shared" ref="E460" si="143">+B460+C460+D460</f>
        <v>155.21</v>
      </c>
      <c r="F460" s="138">
        <f t="shared" ref="F460" si="144">SUM(G460:R460)</f>
        <v>155.21</v>
      </c>
      <c r="G460" s="138">
        <v>0</v>
      </c>
      <c r="H460" s="138">
        <v>0</v>
      </c>
      <c r="I460" s="138">
        <v>0</v>
      </c>
      <c r="J460" s="138">
        <v>0</v>
      </c>
      <c r="K460" s="138">
        <v>155.21</v>
      </c>
      <c r="L460" s="138">
        <v>0</v>
      </c>
      <c r="M460" s="138">
        <v>0</v>
      </c>
      <c r="N460" s="138">
        <v>0</v>
      </c>
      <c r="O460" s="138">
        <v>0</v>
      </c>
      <c r="P460" s="138">
        <v>0</v>
      </c>
      <c r="Q460" s="138">
        <v>0</v>
      </c>
      <c r="R460" s="138">
        <v>0</v>
      </c>
      <c r="S460" s="137"/>
    </row>
    <row r="461" spans="1:34" x14ac:dyDescent="0.25">
      <c r="A461" s="59" t="s">
        <v>10</v>
      </c>
      <c r="B461" s="58">
        <v>550</v>
      </c>
      <c r="C461" s="58"/>
      <c r="D461" s="58"/>
      <c r="E461" s="58">
        <f t="shared" si="137"/>
        <v>550</v>
      </c>
      <c r="F461" s="138">
        <f t="shared" si="138"/>
        <v>550</v>
      </c>
      <c r="G461" s="138">
        <v>0</v>
      </c>
      <c r="H461" s="138">
        <v>0</v>
      </c>
      <c r="I461" s="138">
        <v>0</v>
      </c>
      <c r="J461" s="138">
        <v>0</v>
      </c>
      <c r="K461" s="138">
        <v>400</v>
      </c>
      <c r="L461" s="138">
        <v>0</v>
      </c>
      <c r="M461" s="138">
        <v>0</v>
      </c>
      <c r="N461" s="138">
        <v>0</v>
      </c>
      <c r="O461" s="138">
        <v>0</v>
      </c>
      <c r="P461" s="138">
        <v>0</v>
      </c>
      <c r="Q461" s="138">
        <v>150</v>
      </c>
      <c r="R461" s="138">
        <v>0</v>
      </c>
      <c r="S461" s="137"/>
    </row>
    <row r="462" spans="1:34" x14ac:dyDescent="0.25">
      <c r="A462" s="59" t="s">
        <v>11</v>
      </c>
      <c r="B462" s="58">
        <v>150</v>
      </c>
      <c r="C462" s="58"/>
      <c r="D462" s="58"/>
      <c r="E462" s="58">
        <f t="shared" si="137"/>
        <v>150</v>
      </c>
      <c r="F462" s="138">
        <f t="shared" si="138"/>
        <v>150</v>
      </c>
      <c r="G462" s="138">
        <v>0</v>
      </c>
      <c r="H462" s="138">
        <v>0</v>
      </c>
      <c r="I462" s="138">
        <v>0</v>
      </c>
      <c r="J462" s="138">
        <v>0</v>
      </c>
      <c r="K462" s="138">
        <v>0</v>
      </c>
      <c r="L462" s="138">
        <v>0</v>
      </c>
      <c r="M462" s="138">
        <v>0</v>
      </c>
      <c r="N462" s="138">
        <v>0</v>
      </c>
      <c r="O462" s="138">
        <v>0</v>
      </c>
      <c r="P462" s="138">
        <v>0</v>
      </c>
      <c r="Q462" s="138">
        <v>150</v>
      </c>
      <c r="R462" s="138">
        <v>0</v>
      </c>
      <c r="S462" s="137"/>
    </row>
    <row r="463" spans="1:34" x14ac:dyDescent="0.25">
      <c r="A463" s="9"/>
      <c r="B463" s="40"/>
      <c r="C463" s="40"/>
      <c r="D463" s="40"/>
      <c r="E463" s="51"/>
      <c r="F463" s="138" t="s">
        <v>75</v>
      </c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7"/>
    </row>
    <row r="464" spans="1:34" ht="18.75" x14ac:dyDescent="0.4">
      <c r="A464" s="32" t="s">
        <v>111</v>
      </c>
      <c r="B464" s="40"/>
      <c r="C464" s="40"/>
      <c r="D464" s="40"/>
      <c r="E464" s="51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7"/>
    </row>
    <row r="465" spans="1:33" x14ac:dyDescent="0.25">
      <c r="A465" s="59"/>
      <c r="B465" s="58"/>
      <c r="C465" s="58"/>
      <c r="D465" s="58"/>
      <c r="E465" s="58">
        <f t="shared" ref="E465:E466" si="145">+B465+C465+D465</f>
        <v>0</v>
      </c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7"/>
    </row>
    <row r="466" spans="1:33" x14ac:dyDescent="0.25">
      <c r="A466" s="59"/>
      <c r="B466" s="58"/>
      <c r="C466" s="58"/>
      <c r="D466" s="58"/>
      <c r="E466" s="58">
        <f t="shared" si="145"/>
        <v>0</v>
      </c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7"/>
    </row>
    <row r="467" spans="1:33" ht="18.75" x14ac:dyDescent="0.4">
      <c r="A467" s="32" t="s">
        <v>112</v>
      </c>
      <c r="B467" s="40"/>
      <c r="C467" s="40"/>
      <c r="D467" s="40"/>
      <c r="E467" s="51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7"/>
    </row>
    <row r="468" spans="1:33" x14ac:dyDescent="0.25">
      <c r="A468" s="60" t="s">
        <v>124</v>
      </c>
      <c r="B468" s="58">
        <v>0</v>
      </c>
      <c r="C468" s="58"/>
      <c r="D468" s="58"/>
      <c r="E468" s="58">
        <f t="shared" ref="E468:E469" si="146">+B468+C468+D468</f>
        <v>0</v>
      </c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7"/>
    </row>
    <row r="469" spans="1:33" x14ac:dyDescent="0.25">
      <c r="A469" s="60" t="s">
        <v>75</v>
      </c>
      <c r="B469" s="61">
        <v>0</v>
      </c>
      <c r="C469" s="58"/>
      <c r="D469" s="58"/>
      <c r="E469" s="58">
        <f t="shared" si="146"/>
        <v>0</v>
      </c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7"/>
    </row>
    <row r="470" spans="1:33" ht="18.75" x14ac:dyDescent="0.4">
      <c r="A470" s="34" t="s">
        <v>113</v>
      </c>
      <c r="B470" s="40"/>
      <c r="C470" s="40"/>
      <c r="D470" s="40"/>
      <c r="E470" s="51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7"/>
    </row>
    <row r="471" spans="1:33" x14ac:dyDescent="0.25">
      <c r="A471" s="59"/>
      <c r="B471" s="58"/>
      <c r="C471" s="58"/>
      <c r="D471" s="58"/>
      <c r="E471" s="58">
        <f t="shared" ref="E471" si="147">+B471+C471+D471</f>
        <v>0</v>
      </c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7"/>
    </row>
    <row r="472" spans="1:33" x14ac:dyDescent="0.25">
      <c r="A472" s="9"/>
      <c r="B472" s="40"/>
      <c r="C472" s="40"/>
      <c r="D472" s="40"/>
      <c r="E472" s="51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7"/>
    </row>
    <row r="473" spans="1:33" x14ac:dyDescent="0.25">
      <c r="A473" s="175" t="s">
        <v>242</v>
      </c>
      <c r="B473" s="175"/>
      <c r="C473" s="175"/>
      <c r="D473" s="175"/>
      <c r="E473" s="175"/>
      <c r="F473" s="152"/>
      <c r="G473" s="152"/>
      <c r="H473" s="152"/>
      <c r="I473" s="152"/>
      <c r="J473" s="138"/>
      <c r="K473" s="138"/>
      <c r="L473" s="138"/>
      <c r="M473" s="138"/>
      <c r="N473" s="138"/>
      <c r="O473" s="138"/>
      <c r="P473" s="138"/>
      <c r="Q473" s="138"/>
      <c r="R473" s="138"/>
      <c r="S473" s="137"/>
    </row>
    <row r="474" spans="1:33" s="14" customFormat="1" x14ac:dyDescent="0.25">
      <c r="A474" s="24"/>
      <c r="B474" s="46"/>
      <c r="C474" s="46"/>
      <c r="D474" s="46"/>
      <c r="E474" s="46"/>
      <c r="F474" s="152"/>
      <c r="G474" s="152"/>
      <c r="H474" s="152"/>
      <c r="I474" s="152"/>
      <c r="J474" s="152"/>
      <c r="K474" s="152"/>
      <c r="L474" s="152"/>
      <c r="M474" s="152"/>
      <c r="N474" s="152"/>
      <c r="O474" s="152"/>
      <c r="P474" s="152"/>
      <c r="Q474" s="152"/>
      <c r="R474" s="152"/>
      <c r="S474" s="141"/>
    </row>
    <row r="475" spans="1:33" s="14" customFormat="1" ht="30" x14ac:dyDescent="0.25">
      <c r="A475" s="33" t="s">
        <v>105</v>
      </c>
      <c r="B475" s="38" t="s">
        <v>106</v>
      </c>
      <c r="C475" s="38" t="s">
        <v>107</v>
      </c>
      <c r="D475" s="38" t="s">
        <v>108</v>
      </c>
      <c r="E475" s="38" t="s">
        <v>109</v>
      </c>
      <c r="F475" s="152"/>
      <c r="G475" s="38" t="s">
        <v>192</v>
      </c>
      <c r="H475" s="38" t="s">
        <v>193</v>
      </c>
      <c r="I475" s="38" t="s">
        <v>194</v>
      </c>
      <c r="J475" s="38" t="s">
        <v>195</v>
      </c>
      <c r="K475" s="38" t="s">
        <v>196</v>
      </c>
      <c r="L475" s="38" t="s">
        <v>197</v>
      </c>
      <c r="M475" s="38" t="s">
        <v>198</v>
      </c>
      <c r="N475" s="38" t="s">
        <v>199</v>
      </c>
      <c r="O475" s="38" t="s">
        <v>200</v>
      </c>
      <c r="P475" s="38" t="s">
        <v>201</v>
      </c>
      <c r="Q475" s="38" t="s">
        <v>202</v>
      </c>
      <c r="R475" s="38" t="s">
        <v>203</v>
      </c>
      <c r="S475" s="141"/>
    </row>
    <row r="476" spans="1:33" s="14" customFormat="1" ht="18.75" x14ac:dyDescent="0.4">
      <c r="A476" s="32" t="s">
        <v>110</v>
      </c>
      <c r="B476" s="37">
        <f>SUM(B477:B492)</f>
        <v>62620.430000000008</v>
      </c>
      <c r="C476" s="37">
        <f t="shared" ref="C476:E476" si="148">SUM(C477:C492)</f>
        <v>0</v>
      </c>
      <c r="D476" s="37">
        <f t="shared" si="148"/>
        <v>0</v>
      </c>
      <c r="E476" s="37">
        <f t="shared" si="148"/>
        <v>62620.430000000008</v>
      </c>
      <c r="F476" s="152"/>
      <c r="G476" s="152"/>
      <c r="H476" s="152"/>
      <c r="I476" s="152"/>
      <c r="J476" s="152"/>
      <c r="K476" s="152"/>
      <c r="L476" s="152"/>
      <c r="M476" s="152"/>
      <c r="N476" s="152"/>
      <c r="O476" s="152"/>
      <c r="P476" s="152"/>
      <c r="Q476" s="152"/>
      <c r="R476" s="152"/>
      <c r="S476" s="141"/>
    </row>
    <row r="477" spans="1:33" s="3" customFormat="1" ht="11.25" customHeight="1" x14ac:dyDescent="0.15">
      <c r="A477" s="59" t="s">
        <v>1</v>
      </c>
      <c r="B477" s="58">
        <v>5300</v>
      </c>
      <c r="C477" s="58"/>
      <c r="D477" s="58"/>
      <c r="E477" s="58">
        <f t="shared" ref="E477:E483" si="149">+B477+C477+D477</f>
        <v>5300</v>
      </c>
      <c r="F477" s="138">
        <f t="shared" ref="F477:F483" si="150">SUM(G477:R477)</f>
        <v>5300</v>
      </c>
      <c r="G477" s="138">
        <v>0</v>
      </c>
      <c r="H477" s="138">
        <v>0</v>
      </c>
      <c r="I477" s="138">
        <v>0</v>
      </c>
      <c r="J477" s="138">
        <v>0</v>
      </c>
      <c r="K477" s="138">
        <v>3628.36</v>
      </c>
      <c r="L477" s="138">
        <v>0</v>
      </c>
      <c r="M477" s="138">
        <v>0</v>
      </c>
      <c r="N477" s="138">
        <v>0</v>
      </c>
      <c r="O477" s="138">
        <v>0</v>
      </c>
      <c r="P477" s="138">
        <v>1671.64</v>
      </c>
      <c r="Q477" s="138">
        <v>0</v>
      </c>
      <c r="R477" s="138">
        <v>0</v>
      </c>
      <c r="S477" s="138" t="s">
        <v>75</v>
      </c>
      <c r="U477" s="4"/>
      <c r="W477" s="4"/>
      <c r="Y477" s="4"/>
      <c r="AA477" s="4"/>
      <c r="AC477" s="4"/>
      <c r="AE477" s="4"/>
      <c r="AG477" s="4"/>
    </row>
    <row r="478" spans="1:33" s="3" customFormat="1" ht="11.25" customHeight="1" x14ac:dyDescent="0.15">
      <c r="A478" s="59" t="s">
        <v>229</v>
      </c>
      <c r="B478" s="58">
        <v>1150</v>
      </c>
      <c r="C478" s="58"/>
      <c r="D478" s="58"/>
      <c r="E478" s="58">
        <f t="shared" si="149"/>
        <v>1150</v>
      </c>
      <c r="F478" s="138">
        <f t="shared" si="150"/>
        <v>1150</v>
      </c>
      <c r="G478" s="138">
        <v>0</v>
      </c>
      <c r="H478" s="138">
        <v>0</v>
      </c>
      <c r="I478" s="138">
        <v>0</v>
      </c>
      <c r="J478" s="138">
        <v>0</v>
      </c>
      <c r="K478" s="138">
        <v>0</v>
      </c>
      <c r="L478" s="138">
        <v>1150</v>
      </c>
      <c r="M478" s="138">
        <v>0</v>
      </c>
      <c r="N478" s="138">
        <v>0</v>
      </c>
      <c r="O478" s="138">
        <v>0</v>
      </c>
      <c r="P478" s="138">
        <v>0</v>
      </c>
      <c r="Q478" s="138">
        <v>0</v>
      </c>
      <c r="R478" s="138">
        <v>0</v>
      </c>
      <c r="S478" s="139"/>
      <c r="U478" s="4"/>
      <c r="W478" s="4"/>
      <c r="Y478" s="4"/>
      <c r="AA478" s="4"/>
      <c r="AC478" s="4"/>
      <c r="AE478" s="4"/>
      <c r="AG478" s="4"/>
    </row>
    <row r="479" spans="1:33" x14ac:dyDescent="0.25">
      <c r="A479" s="59" t="s">
        <v>39</v>
      </c>
      <c r="B479" s="58">
        <v>10000</v>
      </c>
      <c r="C479" s="58"/>
      <c r="D479" s="58"/>
      <c r="E479" s="58">
        <f t="shared" si="149"/>
        <v>10000</v>
      </c>
      <c r="F479" s="138">
        <f t="shared" si="150"/>
        <v>10000</v>
      </c>
      <c r="G479" s="138">
        <v>0</v>
      </c>
      <c r="H479" s="138">
        <v>0</v>
      </c>
      <c r="I479" s="138">
        <v>0</v>
      </c>
      <c r="J479" s="138">
        <v>0</v>
      </c>
      <c r="K479" s="138">
        <v>0</v>
      </c>
      <c r="L479" s="138">
        <v>0</v>
      </c>
      <c r="M479" s="138">
        <v>0</v>
      </c>
      <c r="N479" s="138">
        <v>0</v>
      </c>
      <c r="O479" s="138">
        <v>0</v>
      </c>
      <c r="P479" s="138">
        <v>5000</v>
      </c>
      <c r="Q479" s="138">
        <v>5000</v>
      </c>
      <c r="R479" s="138">
        <v>0</v>
      </c>
      <c r="S479" s="137"/>
    </row>
    <row r="480" spans="1:33" x14ac:dyDescent="0.25">
      <c r="A480" s="59" t="s">
        <v>18</v>
      </c>
      <c r="B480" s="58">
        <v>1000</v>
      </c>
      <c r="C480" s="58"/>
      <c r="D480" s="58"/>
      <c r="E480" s="58">
        <f t="shared" si="149"/>
        <v>1000</v>
      </c>
      <c r="F480" s="138">
        <f t="shared" si="150"/>
        <v>1000</v>
      </c>
      <c r="G480" s="138">
        <v>0</v>
      </c>
      <c r="H480" s="138">
        <v>0</v>
      </c>
      <c r="I480" s="138">
        <v>0</v>
      </c>
      <c r="J480" s="138">
        <v>0</v>
      </c>
      <c r="K480" s="138">
        <v>0</v>
      </c>
      <c r="L480" s="138">
        <v>0</v>
      </c>
      <c r="M480" s="138">
        <v>0</v>
      </c>
      <c r="N480" s="138">
        <v>0</v>
      </c>
      <c r="O480" s="138">
        <v>0</v>
      </c>
      <c r="P480" s="138">
        <v>0</v>
      </c>
      <c r="Q480" s="138">
        <v>1000</v>
      </c>
      <c r="R480" s="138">
        <v>0</v>
      </c>
      <c r="S480" s="137"/>
    </row>
    <row r="481" spans="1:33" x14ac:dyDescent="0.25">
      <c r="A481" s="59" t="s">
        <v>19</v>
      </c>
      <c r="B481" s="58">
        <v>4221.6400000000003</v>
      </c>
      <c r="C481" s="58"/>
      <c r="D481" s="58"/>
      <c r="E481" s="58">
        <f t="shared" si="149"/>
        <v>4221.6400000000003</v>
      </c>
      <c r="F481" s="138">
        <f t="shared" si="150"/>
        <v>4221.6400000000003</v>
      </c>
      <c r="G481" s="138">
        <v>0</v>
      </c>
      <c r="H481" s="138">
        <v>0</v>
      </c>
      <c r="I481" s="138">
        <v>0</v>
      </c>
      <c r="J481" s="138">
        <v>0</v>
      </c>
      <c r="K481" s="138">
        <v>4221.6400000000003</v>
      </c>
      <c r="L481" s="138">
        <v>0</v>
      </c>
      <c r="M481" s="138">
        <v>0</v>
      </c>
      <c r="N481" s="138">
        <v>0</v>
      </c>
      <c r="O481" s="138">
        <v>0</v>
      </c>
      <c r="P481" s="138">
        <v>0</v>
      </c>
      <c r="Q481" s="138">
        <v>0</v>
      </c>
      <c r="R481" s="138">
        <v>0</v>
      </c>
      <c r="S481" s="137"/>
    </row>
    <row r="482" spans="1:33" x14ac:dyDescent="0.25">
      <c r="A482" s="59" t="s">
        <v>10</v>
      </c>
      <c r="B482" s="58">
        <v>2500</v>
      </c>
      <c r="C482" s="58"/>
      <c r="D482" s="58"/>
      <c r="E482" s="58">
        <f t="shared" si="149"/>
        <v>2500</v>
      </c>
      <c r="F482" s="138">
        <f t="shared" si="150"/>
        <v>2500</v>
      </c>
      <c r="G482" s="138">
        <v>0</v>
      </c>
      <c r="H482" s="138">
        <v>0</v>
      </c>
      <c r="I482" s="138">
        <v>0</v>
      </c>
      <c r="J482" s="138">
        <v>0</v>
      </c>
      <c r="K482" s="138">
        <v>612.48</v>
      </c>
      <c r="L482" s="138">
        <v>0</v>
      </c>
      <c r="M482" s="138">
        <v>0</v>
      </c>
      <c r="N482" s="138">
        <v>0</v>
      </c>
      <c r="O482" s="138">
        <v>0</v>
      </c>
      <c r="P482" s="138">
        <v>1887.52</v>
      </c>
      <c r="Q482" s="138">
        <v>0</v>
      </c>
      <c r="R482" s="138">
        <v>0</v>
      </c>
      <c r="S482" s="138" t="s">
        <v>75</v>
      </c>
    </row>
    <row r="483" spans="1:33" x14ac:dyDescent="0.25">
      <c r="A483" s="59" t="s">
        <v>11</v>
      </c>
      <c r="B483" s="58">
        <v>11475</v>
      </c>
      <c r="C483" s="58"/>
      <c r="D483" s="58"/>
      <c r="E483" s="58">
        <f t="shared" si="149"/>
        <v>11475</v>
      </c>
      <c r="F483" s="138">
        <f t="shared" si="150"/>
        <v>11475</v>
      </c>
      <c r="G483" s="138">
        <v>0</v>
      </c>
      <c r="H483" s="138">
        <v>0</v>
      </c>
      <c r="I483" s="138">
        <v>0</v>
      </c>
      <c r="J483" s="138">
        <v>0</v>
      </c>
      <c r="K483" s="138">
        <v>11475</v>
      </c>
      <c r="L483" s="138">
        <v>0</v>
      </c>
      <c r="M483" s="138">
        <v>0</v>
      </c>
      <c r="N483" s="138">
        <v>0</v>
      </c>
      <c r="O483" s="138">
        <v>0</v>
      </c>
      <c r="P483" s="138">
        <v>0</v>
      </c>
      <c r="Q483" s="138">
        <v>0</v>
      </c>
      <c r="R483" s="138">
        <v>0</v>
      </c>
      <c r="S483" s="137"/>
    </row>
    <row r="484" spans="1:33" x14ac:dyDescent="0.25">
      <c r="A484" s="9"/>
      <c r="B484" s="40"/>
      <c r="C484" s="40"/>
      <c r="D484" s="40"/>
      <c r="E484" s="51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7"/>
    </row>
    <row r="485" spans="1:33" x14ac:dyDescent="0.25">
      <c r="A485" s="9"/>
      <c r="B485" s="40"/>
      <c r="C485" s="40"/>
      <c r="D485" s="40"/>
      <c r="E485" s="51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7"/>
    </row>
    <row r="486" spans="1:33" x14ac:dyDescent="0.25">
      <c r="A486" s="9"/>
      <c r="B486" s="40"/>
      <c r="C486" s="40"/>
      <c r="D486" s="40"/>
      <c r="E486" s="51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7"/>
    </row>
    <row r="487" spans="1:33" x14ac:dyDescent="0.25">
      <c r="A487" s="9"/>
      <c r="B487" s="40"/>
      <c r="C487" s="40"/>
      <c r="D487" s="40"/>
      <c r="E487" s="51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7"/>
    </row>
    <row r="488" spans="1:33" x14ac:dyDescent="0.25">
      <c r="A488" s="175" t="s">
        <v>46</v>
      </c>
      <c r="B488" s="175"/>
      <c r="C488" s="175"/>
      <c r="D488" s="175"/>
      <c r="E488" s="175"/>
      <c r="F488" s="152"/>
      <c r="G488" s="152"/>
      <c r="H488" s="152"/>
      <c r="I488" s="152"/>
      <c r="J488" s="138"/>
      <c r="K488" s="138"/>
      <c r="L488" s="138"/>
      <c r="M488" s="138"/>
      <c r="N488" s="138"/>
      <c r="O488" s="138"/>
      <c r="P488" s="138"/>
      <c r="Q488" s="138"/>
      <c r="R488" s="138"/>
      <c r="S488" s="137"/>
    </row>
    <row r="489" spans="1:33" s="14" customFormat="1" x14ac:dyDescent="0.25">
      <c r="A489" s="24"/>
      <c r="B489" s="46"/>
      <c r="C489" s="46"/>
      <c r="D489" s="46"/>
      <c r="E489" s="46"/>
      <c r="F489" s="152"/>
      <c r="G489" s="152"/>
      <c r="H489" s="152"/>
      <c r="I489" s="152"/>
      <c r="J489" s="152"/>
      <c r="K489" s="152"/>
      <c r="L489" s="152"/>
      <c r="M489" s="152"/>
      <c r="N489" s="152"/>
      <c r="O489" s="152"/>
      <c r="P489" s="152"/>
      <c r="Q489" s="152"/>
      <c r="R489" s="152"/>
      <c r="S489" s="141"/>
    </row>
    <row r="490" spans="1:33" s="14" customFormat="1" ht="30" x14ac:dyDescent="0.25">
      <c r="A490" s="33" t="s">
        <v>105</v>
      </c>
      <c r="B490" s="38" t="s">
        <v>106</v>
      </c>
      <c r="C490" s="38" t="s">
        <v>107</v>
      </c>
      <c r="D490" s="38" t="s">
        <v>108</v>
      </c>
      <c r="E490" s="38" t="s">
        <v>109</v>
      </c>
      <c r="F490" s="152"/>
      <c r="G490" s="38" t="s">
        <v>192</v>
      </c>
      <c r="H490" s="38" t="s">
        <v>193</v>
      </c>
      <c r="I490" s="38" t="s">
        <v>194</v>
      </c>
      <c r="J490" s="38" t="s">
        <v>195</v>
      </c>
      <c r="K490" s="38" t="s">
        <v>196</v>
      </c>
      <c r="L490" s="38" t="s">
        <v>197</v>
      </c>
      <c r="M490" s="38" t="s">
        <v>198</v>
      </c>
      <c r="N490" s="38" t="s">
        <v>199</v>
      </c>
      <c r="O490" s="38" t="s">
        <v>200</v>
      </c>
      <c r="P490" s="38" t="s">
        <v>201</v>
      </c>
      <c r="Q490" s="38" t="s">
        <v>202</v>
      </c>
      <c r="R490" s="38" t="s">
        <v>203</v>
      </c>
      <c r="S490" s="141"/>
    </row>
    <row r="491" spans="1:33" s="14" customFormat="1" ht="18.75" x14ac:dyDescent="0.4">
      <c r="A491" s="32" t="s">
        <v>110</v>
      </c>
      <c r="B491" s="37">
        <f>SUM(B492:B509)</f>
        <v>20599.450000000004</v>
      </c>
      <c r="C491" s="37">
        <f t="shared" ref="C491:E491" si="151">SUM(C492:C509)</f>
        <v>0</v>
      </c>
      <c r="D491" s="37">
        <f t="shared" si="151"/>
        <v>0</v>
      </c>
      <c r="E491" s="37">
        <f t="shared" si="151"/>
        <v>20599.450000000004</v>
      </c>
      <c r="F491" s="152"/>
      <c r="G491" s="152"/>
      <c r="H491" s="152"/>
      <c r="I491" s="152"/>
      <c r="J491" s="152"/>
      <c r="K491" s="152"/>
      <c r="L491" s="152"/>
      <c r="M491" s="152"/>
      <c r="N491" s="152"/>
      <c r="O491" s="152"/>
      <c r="P491" s="152"/>
      <c r="Q491" s="152"/>
      <c r="R491" s="152"/>
      <c r="S491" s="141"/>
    </row>
    <row r="492" spans="1:33" s="3" customFormat="1" ht="11.25" customHeight="1" x14ac:dyDescent="0.15">
      <c r="A492" s="59" t="s">
        <v>1</v>
      </c>
      <c r="B492" s="58">
        <v>6374.34</v>
      </c>
      <c r="C492" s="58"/>
      <c r="D492" s="58"/>
      <c r="E492" s="58">
        <f t="shared" ref="E492:E500" si="152">+B492+C492+D492</f>
        <v>6374.34</v>
      </c>
      <c r="F492" s="138">
        <f t="shared" ref="F492:F500" si="153">SUM(G492:R492)</f>
        <v>6374.34</v>
      </c>
      <c r="G492" s="138">
        <v>0</v>
      </c>
      <c r="H492" s="138">
        <v>0</v>
      </c>
      <c r="I492" s="138">
        <v>0</v>
      </c>
      <c r="J492" s="138">
        <v>0</v>
      </c>
      <c r="K492" s="138">
        <f>5300-236.73</f>
        <v>5063.2700000000004</v>
      </c>
      <c r="L492" s="138">
        <v>0</v>
      </c>
      <c r="M492" s="138">
        <v>0</v>
      </c>
      <c r="N492" s="138">
        <v>0</v>
      </c>
      <c r="O492" s="138">
        <v>1311.07</v>
      </c>
      <c r="P492" s="138">
        <v>0</v>
      </c>
      <c r="Q492" s="138">
        <v>0</v>
      </c>
      <c r="R492" s="138">
        <v>0</v>
      </c>
      <c r="S492" s="138" t="s">
        <v>75</v>
      </c>
      <c r="U492" s="4"/>
      <c r="W492" s="4"/>
      <c r="Y492" s="4"/>
      <c r="AA492" s="4"/>
      <c r="AC492" s="4"/>
      <c r="AE492" s="4"/>
      <c r="AG492" s="4"/>
    </row>
    <row r="493" spans="1:33" s="3" customFormat="1" ht="11.25" customHeight="1" x14ac:dyDescent="0.15">
      <c r="A493" s="59" t="s">
        <v>229</v>
      </c>
      <c r="B493" s="58">
        <v>286.49</v>
      </c>
      <c r="C493" s="58"/>
      <c r="D493" s="58"/>
      <c r="E493" s="58">
        <f t="shared" si="152"/>
        <v>286.49</v>
      </c>
      <c r="F493" s="138">
        <f t="shared" si="153"/>
        <v>286.49</v>
      </c>
      <c r="G493" s="138">
        <v>0</v>
      </c>
      <c r="H493" s="138">
        <v>0</v>
      </c>
      <c r="I493" s="138">
        <v>0</v>
      </c>
      <c r="J493" s="138">
        <v>0</v>
      </c>
      <c r="K493" s="138">
        <v>211</v>
      </c>
      <c r="L493" s="138">
        <v>0</v>
      </c>
      <c r="M493" s="138">
        <v>0</v>
      </c>
      <c r="N493" s="138">
        <v>75.489999999999995</v>
      </c>
      <c r="O493" s="138">
        <v>0</v>
      </c>
      <c r="P493" s="138">
        <v>0</v>
      </c>
      <c r="Q493" s="138">
        <v>0</v>
      </c>
      <c r="R493" s="138">
        <v>0</v>
      </c>
      <c r="S493" s="139"/>
      <c r="U493" s="4"/>
      <c r="W493" s="4"/>
      <c r="Y493" s="4"/>
      <c r="AA493" s="4"/>
      <c r="AC493" s="4"/>
      <c r="AE493" s="4"/>
      <c r="AG493" s="4"/>
    </row>
    <row r="494" spans="1:33" x14ac:dyDescent="0.25">
      <c r="A494" s="59" t="s">
        <v>39</v>
      </c>
      <c r="B494" s="58">
        <v>12547.5</v>
      </c>
      <c r="C494" s="58"/>
      <c r="D494" s="58"/>
      <c r="E494" s="58">
        <f t="shared" si="152"/>
        <v>12547.5</v>
      </c>
      <c r="F494" s="138">
        <f t="shared" si="153"/>
        <v>12547.5</v>
      </c>
      <c r="G494" s="138">
        <v>0</v>
      </c>
      <c r="H494" s="138">
        <v>0</v>
      </c>
      <c r="I494" s="138">
        <v>0</v>
      </c>
      <c r="J494" s="138">
        <v>0</v>
      </c>
      <c r="K494" s="138">
        <v>1600</v>
      </c>
      <c r="L494" s="138">
        <v>0</v>
      </c>
      <c r="M494" s="138">
        <v>0</v>
      </c>
      <c r="N494" s="138">
        <v>0</v>
      </c>
      <c r="O494" s="138">
        <v>10947.5</v>
      </c>
      <c r="P494" s="138">
        <v>0</v>
      </c>
      <c r="Q494" s="138">
        <v>0</v>
      </c>
      <c r="R494" s="138">
        <v>0</v>
      </c>
      <c r="S494" s="137"/>
    </row>
    <row r="495" spans="1:33" x14ac:dyDescent="0.25">
      <c r="A495" s="59" t="s">
        <v>18</v>
      </c>
      <c r="B495" s="58">
        <v>0</v>
      </c>
      <c r="C495" s="58"/>
      <c r="D495" s="58"/>
      <c r="E495" s="58">
        <f t="shared" si="152"/>
        <v>0</v>
      </c>
      <c r="F495" s="138">
        <f t="shared" si="153"/>
        <v>0</v>
      </c>
      <c r="G495" s="138">
        <v>0</v>
      </c>
      <c r="H495" s="138">
        <v>0</v>
      </c>
      <c r="I495" s="138">
        <v>0</v>
      </c>
      <c r="J495" s="138">
        <v>0</v>
      </c>
      <c r="K495" s="138">
        <v>0</v>
      </c>
      <c r="L495" s="138">
        <v>0</v>
      </c>
      <c r="M495" s="138">
        <v>0</v>
      </c>
      <c r="N495" s="138">
        <v>0</v>
      </c>
      <c r="O495" s="138">
        <v>0</v>
      </c>
      <c r="P495" s="138">
        <v>0</v>
      </c>
      <c r="Q495" s="138">
        <v>0</v>
      </c>
      <c r="R495" s="138">
        <v>0</v>
      </c>
      <c r="S495" s="137"/>
    </row>
    <row r="496" spans="1:33" x14ac:dyDescent="0.25">
      <c r="A496" s="59" t="s">
        <v>19</v>
      </c>
      <c r="B496" s="58">
        <v>600</v>
      </c>
      <c r="C496" s="58"/>
      <c r="D496" s="58"/>
      <c r="E496" s="58">
        <f t="shared" si="152"/>
        <v>600</v>
      </c>
      <c r="F496" s="138">
        <f t="shared" si="153"/>
        <v>600</v>
      </c>
      <c r="G496" s="138">
        <v>0</v>
      </c>
      <c r="H496" s="138">
        <v>0</v>
      </c>
      <c r="I496" s="138">
        <v>0</v>
      </c>
      <c r="J496" s="138">
        <v>0</v>
      </c>
      <c r="K496" s="138">
        <v>600</v>
      </c>
      <c r="L496" s="138">
        <v>0</v>
      </c>
      <c r="M496" s="138">
        <v>0</v>
      </c>
      <c r="N496" s="138">
        <v>0</v>
      </c>
      <c r="O496" s="138">
        <v>0</v>
      </c>
      <c r="P496" s="138">
        <v>0</v>
      </c>
      <c r="Q496" s="138">
        <v>0</v>
      </c>
      <c r="R496" s="138">
        <v>0</v>
      </c>
      <c r="S496" s="137"/>
    </row>
    <row r="497" spans="1:19" x14ac:dyDescent="0.25">
      <c r="A497" s="59" t="s">
        <v>240</v>
      </c>
      <c r="B497" s="58">
        <v>74.239999999999995</v>
      </c>
      <c r="C497" s="58"/>
      <c r="D497" s="58"/>
      <c r="E497" s="58">
        <f t="shared" ref="E497:E498" si="154">+B497+C497+D497</f>
        <v>74.239999999999995</v>
      </c>
      <c r="F497" s="138">
        <f t="shared" ref="F497:F498" si="155">SUM(G497:R497)</f>
        <v>74.239999999999995</v>
      </c>
      <c r="G497" s="138">
        <v>0</v>
      </c>
      <c r="H497" s="138">
        <v>0</v>
      </c>
      <c r="I497" s="138">
        <v>0</v>
      </c>
      <c r="J497" s="138">
        <v>0</v>
      </c>
      <c r="K497" s="138">
        <v>0</v>
      </c>
      <c r="L497" s="138">
        <v>0</v>
      </c>
      <c r="M497" s="138">
        <v>0</v>
      </c>
      <c r="N497" s="138">
        <v>74.239999999999995</v>
      </c>
      <c r="O497" s="138">
        <v>0</v>
      </c>
      <c r="P497" s="138">
        <v>0</v>
      </c>
      <c r="Q497" s="138">
        <v>0</v>
      </c>
      <c r="R497" s="138">
        <v>0</v>
      </c>
      <c r="S497" s="137"/>
    </row>
    <row r="498" spans="1:19" x14ac:dyDescent="0.25">
      <c r="A498" s="59" t="s">
        <v>228</v>
      </c>
      <c r="B498" s="58">
        <v>229.68</v>
      </c>
      <c r="C498" s="58"/>
      <c r="D498" s="58"/>
      <c r="E498" s="58">
        <f t="shared" si="154"/>
        <v>229.68</v>
      </c>
      <c r="F498" s="138">
        <f t="shared" si="155"/>
        <v>229.68</v>
      </c>
      <c r="G498" s="138">
        <v>0</v>
      </c>
      <c r="H498" s="138">
        <v>0</v>
      </c>
      <c r="I498" s="138">
        <v>0</v>
      </c>
      <c r="J498" s="138">
        <v>229.68</v>
      </c>
      <c r="K498" s="138">
        <v>0</v>
      </c>
      <c r="L498" s="138">
        <v>0</v>
      </c>
      <c r="M498" s="138">
        <v>0</v>
      </c>
      <c r="N498" s="138">
        <v>0</v>
      </c>
      <c r="O498" s="138">
        <v>0</v>
      </c>
      <c r="P498" s="138">
        <v>0</v>
      </c>
      <c r="Q498" s="138">
        <v>0</v>
      </c>
      <c r="R498" s="138">
        <v>0</v>
      </c>
      <c r="S498" s="137"/>
    </row>
    <row r="499" spans="1:19" x14ac:dyDescent="0.25">
      <c r="A499" s="59" t="s">
        <v>10</v>
      </c>
      <c r="B499" s="58">
        <v>0</v>
      </c>
      <c r="C499" s="58"/>
      <c r="D499" s="58"/>
      <c r="E499" s="58">
        <f t="shared" si="152"/>
        <v>0</v>
      </c>
      <c r="F499" s="138">
        <f t="shared" si="153"/>
        <v>0</v>
      </c>
      <c r="G499" s="138">
        <v>0</v>
      </c>
      <c r="H499" s="138">
        <v>0</v>
      </c>
      <c r="I499" s="138">
        <v>0</v>
      </c>
      <c r="J499" s="138">
        <v>0</v>
      </c>
      <c r="K499" s="138">
        <v>0</v>
      </c>
      <c r="L499" s="138">
        <v>0</v>
      </c>
      <c r="M499" s="138">
        <v>0</v>
      </c>
      <c r="N499" s="138">
        <v>0</v>
      </c>
      <c r="O499" s="138">
        <v>0</v>
      </c>
      <c r="P499" s="138">
        <v>0</v>
      </c>
      <c r="Q499" s="138">
        <v>0</v>
      </c>
      <c r="R499" s="138">
        <v>0</v>
      </c>
      <c r="S499" s="138" t="s">
        <v>75</v>
      </c>
    </row>
    <row r="500" spans="1:19" x14ac:dyDescent="0.25">
      <c r="A500" s="59" t="s">
        <v>243</v>
      </c>
      <c r="B500" s="58">
        <v>487.2</v>
      </c>
      <c r="C500" s="58"/>
      <c r="D500" s="58"/>
      <c r="E500" s="58">
        <f t="shared" si="152"/>
        <v>487.2</v>
      </c>
      <c r="F500" s="138">
        <f t="shared" si="153"/>
        <v>487.2</v>
      </c>
      <c r="G500" s="138">
        <v>0</v>
      </c>
      <c r="H500" s="138">
        <v>0</v>
      </c>
      <c r="I500" s="138">
        <v>0</v>
      </c>
      <c r="J500" s="138">
        <v>400.2</v>
      </c>
      <c r="K500" s="138">
        <v>0</v>
      </c>
      <c r="L500" s="138">
        <v>0</v>
      </c>
      <c r="M500" s="138">
        <v>87</v>
      </c>
      <c r="N500" s="138">
        <v>0</v>
      </c>
      <c r="O500" s="138">
        <v>0</v>
      </c>
      <c r="P500" s="138">
        <v>0</v>
      </c>
      <c r="Q500" s="138">
        <v>0</v>
      </c>
      <c r="R500" s="138">
        <v>0</v>
      </c>
      <c r="S500" s="137"/>
    </row>
    <row r="501" spans="1:19" x14ac:dyDescent="0.25">
      <c r="A501" s="9"/>
      <c r="B501" s="40"/>
      <c r="C501" s="40"/>
      <c r="D501" s="40"/>
      <c r="E501" s="51"/>
      <c r="F501" s="138" t="s">
        <v>75</v>
      </c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7"/>
    </row>
    <row r="502" spans="1:19" ht="18.75" x14ac:dyDescent="0.4">
      <c r="A502" s="32" t="s">
        <v>111</v>
      </c>
      <c r="B502" s="40"/>
      <c r="C502" s="40"/>
      <c r="D502" s="40"/>
      <c r="E502" s="51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7"/>
    </row>
    <row r="503" spans="1:19" x14ac:dyDescent="0.25">
      <c r="A503" s="59"/>
      <c r="B503" s="58"/>
      <c r="C503" s="58"/>
      <c r="D503" s="58"/>
      <c r="E503" s="58">
        <f t="shared" ref="E503:E504" si="156">+B503+C503+D503</f>
        <v>0</v>
      </c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7"/>
    </row>
    <row r="504" spans="1:19" x14ac:dyDescent="0.25">
      <c r="A504" s="59"/>
      <c r="B504" s="58"/>
      <c r="C504" s="58"/>
      <c r="D504" s="58"/>
      <c r="E504" s="58">
        <f t="shared" si="156"/>
        <v>0</v>
      </c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7"/>
    </row>
    <row r="505" spans="1:19" ht="18.75" x14ac:dyDescent="0.4">
      <c r="A505" s="32" t="s">
        <v>112</v>
      </c>
      <c r="B505" s="40"/>
      <c r="C505" s="40"/>
      <c r="D505" s="40"/>
      <c r="E505" s="51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7"/>
    </row>
    <row r="506" spans="1:19" x14ac:dyDescent="0.25">
      <c r="A506" s="60" t="s">
        <v>124</v>
      </c>
      <c r="B506" s="58">
        <v>0</v>
      </c>
      <c r="C506" s="58"/>
      <c r="D506" s="58"/>
      <c r="E506" s="58">
        <f t="shared" ref="E506:E507" si="157">+B506+C506+D506</f>
        <v>0</v>
      </c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7"/>
    </row>
    <row r="507" spans="1:19" x14ac:dyDescent="0.25">
      <c r="A507" s="60" t="s">
        <v>75</v>
      </c>
      <c r="B507" s="61">
        <v>0</v>
      </c>
      <c r="C507" s="58"/>
      <c r="D507" s="58"/>
      <c r="E507" s="58">
        <f t="shared" si="157"/>
        <v>0</v>
      </c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7"/>
    </row>
    <row r="508" spans="1:19" ht="18.75" x14ac:dyDescent="0.4">
      <c r="A508" s="34" t="s">
        <v>113</v>
      </c>
      <c r="B508" s="40"/>
      <c r="C508" s="40"/>
      <c r="D508" s="40"/>
      <c r="E508" s="51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7"/>
    </row>
    <row r="509" spans="1:19" x14ac:dyDescent="0.25">
      <c r="A509" s="59"/>
      <c r="B509" s="58"/>
      <c r="C509" s="58"/>
      <c r="D509" s="58"/>
      <c r="E509" s="58">
        <f t="shared" ref="E509" si="158">+B509+C509+D509</f>
        <v>0</v>
      </c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7"/>
    </row>
    <row r="510" spans="1:19" x14ac:dyDescent="0.25">
      <c r="A510" s="9"/>
      <c r="B510" s="40"/>
      <c r="C510" s="40"/>
      <c r="D510" s="40"/>
      <c r="E510" s="51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7"/>
    </row>
    <row r="511" spans="1:19" x14ac:dyDescent="0.25">
      <c r="A511" s="9"/>
      <c r="B511" s="40"/>
      <c r="C511" s="40"/>
      <c r="D511" s="40"/>
      <c r="E511" s="51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7"/>
    </row>
    <row r="512" spans="1:19" x14ac:dyDescent="0.25">
      <c r="A512" s="9"/>
      <c r="B512" s="40"/>
      <c r="C512" s="40"/>
      <c r="D512" s="40"/>
      <c r="E512" s="51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7"/>
    </row>
    <row r="513" spans="1:34" ht="18.75" x14ac:dyDescent="0.4">
      <c r="A513" s="169" t="s">
        <v>47</v>
      </c>
      <c r="B513" s="169"/>
      <c r="C513" s="169"/>
      <c r="D513" s="169"/>
      <c r="E513" s="169"/>
      <c r="F513" s="152"/>
      <c r="G513" s="152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7"/>
    </row>
    <row r="514" spans="1:34" x14ac:dyDescent="0.25">
      <c r="A514" s="23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7"/>
    </row>
    <row r="515" spans="1:34" ht="30" x14ac:dyDescent="0.25">
      <c r="A515" s="33" t="s">
        <v>105</v>
      </c>
      <c r="B515" s="38" t="s">
        <v>106</v>
      </c>
      <c r="C515" s="38" t="s">
        <v>107</v>
      </c>
      <c r="D515" s="38" t="s">
        <v>108</v>
      </c>
      <c r="E515" s="38" t="s">
        <v>109</v>
      </c>
      <c r="F515" s="138"/>
      <c r="G515" s="38" t="s">
        <v>192</v>
      </c>
      <c r="H515" s="38" t="s">
        <v>193</v>
      </c>
      <c r="I515" s="38" t="s">
        <v>194</v>
      </c>
      <c r="J515" s="38" t="s">
        <v>195</v>
      </c>
      <c r="K515" s="38" t="s">
        <v>196</v>
      </c>
      <c r="L515" s="38" t="s">
        <v>197</v>
      </c>
      <c r="M515" s="38" t="s">
        <v>198</v>
      </c>
      <c r="N515" s="38" t="s">
        <v>199</v>
      </c>
      <c r="O515" s="38" t="s">
        <v>200</v>
      </c>
      <c r="P515" s="38" t="s">
        <v>201</v>
      </c>
      <c r="Q515" s="38" t="s">
        <v>202</v>
      </c>
      <c r="R515" s="38" t="s">
        <v>203</v>
      </c>
      <c r="S515" s="137"/>
    </row>
    <row r="516" spans="1:34" ht="18.75" x14ac:dyDescent="0.4">
      <c r="A516" s="32" t="s">
        <v>110</v>
      </c>
      <c r="B516" s="37">
        <f>SUM(B517:B533)</f>
        <v>53428.240000000005</v>
      </c>
      <c r="C516" s="37">
        <f t="shared" ref="C516:E516" si="159">SUM(C517:C533)</f>
        <v>0</v>
      </c>
      <c r="D516" s="37">
        <f t="shared" si="159"/>
        <v>0</v>
      </c>
      <c r="E516" s="37">
        <f t="shared" si="159"/>
        <v>53428.240000000005</v>
      </c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7"/>
    </row>
    <row r="517" spans="1:34" s="3" customFormat="1" ht="11.25" customHeight="1" x14ac:dyDescent="0.15">
      <c r="A517" s="59" t="s">
        <v>1</v>
      </c>
      <c r="B517" s="58">
        <v>7076.3600000000006</v>
      </c>
      <c r="C517" s="58"/>
      <c r="D517" s="58"/>
      <c r="E517" s="58">
        <f t="shared" ref="E517:E524" si="160">+B517+C517+D517</f>
        <v>7076.3600000000006</v>
      </c>
      <c r="F517" s="138">
        <f t="shared" ref="F517:F524" si="161">SUM(G517:R517)</f>
        <v>7076.3600000000006</v>
      </c>
      <c r="G517" s="138">
        <v>0</v>
      </c>
      <c r="H517" s="138">
        <v>0</v>
      </c>
      <c r="I517" s="138">
        <v>0</v>
      </c>
      <c r="J517" s="138">
        <v>0</v>
      </c>
      <c r="K517" s="138">
        <f>12000-9367.96</f>
        <v>2632.0400000000009</v>
      </c>
      <c r="L517" s="138">
        <v>0</v>
      </c>
      <c r="M517" s="138">
        <v>505.64</v>
      </c>
      <c r="N517" s="138">
        <v>363.66</v>
      </c>
      <c r="O517" s="138">
        <v>75.02</v>
      </c>
      <c r="P517" s="138">
        <v>0</v>
      </c>
      <c r="Q517" s="138">
        <v>3500</v>
      </c>
      <c r="R517" s="138">
        <v>0</v>
      </c>
      <c r="S517" s="139"/>
      <c r="U517" s="4"/>
      <c r="W517" s="4"/>
      <c r="Y517" s="4"/>
      <c r="AA517" s="4"/>
      <c r="AC517" s="4"/>
      <c r="AE517" s="4"/>
      <c r="AG517" s="4"/>
    </row>
    <row r="518" spans="1:34" s="3" customFormat="1" ht="11.25" customHeight="1" x14ac:dyDescent="0.15">
      <c r="A518" s="59" t="s">
        <v>2</v>
      </c>
      <c r="B518" s="77">
        <v>0</v>
      </c>
      <c r="C518" s="52"/>
      <c r="D518" s="58"/>
      <c r="E518" s="58">
        <f t="shared" si="160"/>
        <v>0</v>
      </c>
      <c r="F518" s="138">
        <f t="shared" si="161"/>
        <v>0</v>
      </c>
      <c r="G518" s="138">
        <v>0</v>
      </c>
      <c r="H518" s="138">
        <v>0</v>
      </c>
      <c r="I518" s="138">
        <v>0</v>
      </c>
      <c r="J518" s="138">
        <v>0</v>
      </c>
      <c r="K518" s="138">
        <v>0</v>
      </c>
      <c r="L518" s="138">
        <v>0</v>
      </c>
      <c r="M518" s="138">
        <v>0</v>
      </c>
      <c r="N518" s="138">
        <v>0</v>
      </c>
      <c r="O518" s="138">
        <v>0</v>
      </c>
      <c r="P518" s="138">
        <v>0</v>
      </c>
      <c r="Q518" s="138">
        <v>0</v>
      </c>
      <c r="R518" s="138">
        <v>0</v>
      </c>
      <c r="S518" s="140"/>
      <c r="T518" s="7"/>
      <c r="U518" s="8"/>
      <c r="V518" s="7"/>
      <c r="W518" s="8"/>
      <c r="X518" s="7"/>
      <c r="Y518" s="8"/>
      <c r="Z518" s="7"/>
      <c r="AA518" s="8"/>
      <c r="AB518" s="7"/>
      <c r="AC518" s="8"/>
      <c r="AD518" s="7"/>
      <c r="AE518" s="8"/>
      <c r="AF518" s="7"/>
      <c r="AG518" s="8"/>
      <c r="AH518" s="7"/>
    </row>
    <row r="519" spans="1:34" x14ac:dyDescent="0.25">
      <c r="A519" s="59" t="s">
        <v>39</v>
      </c>
      <c r="B519" s="58">
        <v>19161.88</v>
      </c>
      <c r="C519" s="58"/>
      <c r="D519" s="58"/>
      <c r="E519" s="58">
        <f t="shared" si="160"/>
        <v>19161.88</v>
      </c>
      <c r="F519" s="138">
        <f t="shared" si="161"/>
        <v>19161.88</v>
      </c>
      <c r="G519" s="138">
        <v>0</v>
      </c>
      <c r="H519" s="138">
        <v>0</v>
      </c>
      <c r="I519" s="138">
        <v>0</v>
      </c>
      <c r="J519" s="138">
        <v>0</v>
      </c>
      <c r="K519" s="138">
        <v>10000</v>
      </c>
      <c r="L519" s="138">
        <v>0</v>
      </c>
      <c r="M519" s="138">
        <f>4655.54-363.66</f>
        <v>4291.88</v>
      </c>
      <c r="N519" s="138">
        <v>0</v>
      </c>
      <c r="O519" s="138">
        <v>0</v>
      </c>
      <c r="P519" s="138">
        <v>0</v>
      </c>
      <c r="Q519" s="138">
        <v>4870</v>
      </c>
      <c r="R519" s="138">
        <v>0</v>
      </c>
      <c r="S519" s="137"/>
    </row>
    <row r="520" spans="1:34" x14ac:dyDescent="0.25">
      <c r="A520" s="59" t="s">
        <v>18</v>
      </c>
      <c r="B520" s="58">
        <v>1000</v>
      </c>
      <c r="C520" s="58"/>
      <c r="D520" s="58"/>
      <c r="E520" s="58">
        <f t="shared" si="160"/>
        <v>1000</v>
      </c>
      <c r="F520" s="138">
        <f t="shared" si="161"/>
        <v>1000</v>
      </c>
      <c r="G520" s="138">
        <v>0</v>
      </c>
      <c r="H520" s="138">
        <v>0</v>
      </c>
      <c r="I520" s="138">
        <v>0</v>
      </c>
      <c r="J520" s="138">
        <v>0</v>
      </c>
      <c r="K520" s="138">
        <v>0</v>
      </c>
      <c r="L520" s="138">
        <v>0</v>
      </c>
      <c r="M520" s="138">
        <v>0</v>
      </c>
      <c r="N520" s="138">
        <v>0</v>
      </c>
      <c r="O520" s="138">
        <v>0</v>
      </c>
      <c r="P520" s="138">
        <v>1000</v>
      </c>
      <c r="Q520" s="138">
        <v>0</v>
      </c>
      <c r="R520" s="138">
        <v>0</v>
      </c>
      <c r="S520" s="137"/>
    </row>
    <row r="521" spans="1:34" x14ac:dyDescent="0.25">
      <c r="A521" s="59" t="s">
        <v>19</v>
      </c>
      <c r="B521" s="58">
        <v>600</v>
      </c>
      <c r="C521" s="58"/>
      <c r="D521" s="58"/>
      <c r="E521" s="58">
        <f t="shared" si="160"/>
        <v>600</v>
      </c>
      <c r="F521" s="138">
        <f t="shared" si="161"/>
        <v>600</v>
      </c>
      <c r="G521" s="138">
        <v>0</v>
      </c>
      <c r="H521" s="138">
        <v>0</v>
      </c>
      <c r="I521" s="138">
        <v>0</v>
      </c>
      <c r="J521" s="138">
        <v>0</v>
      </c>
      <c r="K521" s="138">
        <v>0</v>
      </c>
      <c r="L521" s="138">
        <v>0</v>
      </c>
      <c r="M521" s="138">
        <v>0</v>
      </c>
      <c r="N521" s="138">
        <v>0</v>
      </c>
      <c r="O521" s="138">
        <v>0</v>
      </c>
      <c r="P521" s="138">
        <v>0</v>
      </c>
      <c r="Q521" s="138">
        <v>600</v>
      </c>
      <c r="R521" s="138">
        <v>0</v>
      </c>
      <c r="S521" s="137"/>
    </row>
    <row r="522" spans="1:34" x14ac:dyDescent="0.25">
      <c r="A522" s="59" t="s">
        <v>10</v>
      </c>
      <c r="B522" s="58">
        <v>11590</v>
      </c>
      <c r="C522" s="58"/>
      <c r="D522" s="58"/>
      <c r="E522" s="58">
        <f t="shared" si="160"/>
        <v>11590</v>
      </c>
      <c r="F522" s="138">
        <f t="shared" si="161"/>
        <v>11590</v>
      </c>
      <c r="G522" s="138">
        <v>0</v>
      </c>
      <c r="H522" s="138">
        <v>0</v>
      </c>
      <c r="I522" s="138">
        <v>0</v>
      </c>
      <c r="J522" s="138">
        <v>0</v>
      </c>
      <c r="K522" s="138">
        <v>300</v>
      </c>
      <c r="L522" s="138">
        <v>0</v>
      </c>
      <c r="M522" s="138">
        <v>0</v>
      </c>
      <c r="N522" s="138">
        <v>0</v>
      </c>
      <c r="O522" s="138">
        <v>0</v>
      </c>
      <c r="P522" s="138">
        <v>0</v>
      </c>
      <c r="Q522" s="138">
        <v>7890</v>
      </c>
      <c r="R522" s="138">
        <v>3400</v>
      </c>
      <c r="S522" s="137"/>
    </row>
    <row r="523" spans="1:34" x14ac:dyDescent="0.25">
      <c r="A523" s="59" t="s">
        <v>11</v>
      </c>
      <c r="B523" s="58">
        <v>14000</v>
      </c>
      <c r="C523" s="58"/>
      <c r="D523" s="58"/>
      <c r="E523" s="58">
        <f t="shared" si="160"/>
        <v>14000</v>
      </c>
      <c r="F523" s="138">
        <f t="shared" si="161"/>
        <v>14000</v>
      </c>
      <c r="G523" s="138">
        <v>0</v>
      </c>
      <c r="H523" s="138">
        <v>0</v>
      </c>
      <c r="I523" s="138">
        <v>0</v>
      </c>
      <c r="J523" s="138">
        <v>0</v>
      </c>
      <c r="K523" s="138">
        <v>14000</v>
      </c>
      <c r="L523" s="138">
        <v>0</v>
      </c>
      <c r="M523" s="138">
        <v>0</v>
      </c>
      <c r="N523" s="138">
        <v>0</v>
      </c>
      <c r="O523" s="138">
        <v>0</v>
      </c>
      <c r="P523" s="138">
        <v>0</v>
      </c>
      <c r="Q523" s="138">
        <v>0</v>
      </c>
      <c r="R523" s="138">
        <v>0</v>
      </c>
      <c r="S523" s="137"/>
    </row>
    <row r="524" spans="1:34" x14ac:dyDescent="0.25">
      <c r="A524" s="59" t="s">
        <v>40</v>
      </c>
      <c r="B524" s="58">
        <v>0</v>
      </c>
      <c r="C524" s="58"/>
      <c r="D524" s="58"/>
      <c r="E524" s="58">
        <f t="shared" si="160"/>
        <v>0</v>
      </c>
      <c r="F524" s="138">
        <f t="shared" si="161"/>
        <v>0</v>
      </c>
      <c r="G524" s="138">
        <v>0</v>
      </c>
      <c r="H524" s="138">
        <v>0</v>
      </c>
      <c r="I524" s="138">
        <v>0</v>
      </c>
      <c r="J524" s="138">
        <v>0</v>
      </c>
      <c r="K524" s="138">
        <v>0</v>
      </c>
      <c r="L524" s="138">
        <v>0</v>
      </c>
      <c r="M524" s="138">
        <v>0</v>
      </c>
      <c r="N524" s="138">
        <v>0</v>
      </c>
      <c r="O524" s="138">
        <v>0</v>
      </c>
      <c r="P524" s="138">
        <v>0</v>
      </c>
      <c r="Q524" s="138">
        <v>0</v>
      </c>
      <c r="R524" s="138">
        <v>0</v>
      </c>
      <c r="S524" s="137"/>
    </row>
    <row r="525" spans="1:34" x14ac:dyDescent="0.25">
      <c r="A525" s="9"/>
      <c r="B525" s="40"/>
      <c r="C525" s="40"/>
      <c r="D525" s="40"/>
      <c r="E525" s="51"/>
      <c r="F525" s="138" t="s">
        <v>75</v>
      </c>
      <c r="G525" s="138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7"/>
    </row>
    <row r="526" spans="1:34" ht="18.75" x14ac:dyDescent="0.4">
      <c r="A526" s="32" t="s">
        <v>111</v>
      </c>
      <c r="B526" s="40"/>
      <c r="C526" s="40"/>
      <c r="D526" s="40"/>
      <c r="E526" s="51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7"/>
    </row>
    <row r="527" spans="1:34" x14ac:dyDescent="0.25">
      <c r="A527" s="59"/>
      <c r="B527" s="58"/>
      <c r="C527" s="58"/>
      <c r="D527" s="58"/>
      <c r="E527" s="58">
        <f t="shared" ref="E527:E528" si="162">+B527+C527+D527</f>
        <v>0</v>
      </c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7"/>
    </row>
    <row r="528" spans="1:34" x14ac:dyDescent="0.25">
      <c r="A528" s="59"/>
      <c r="B528" s="58"/>
      <c r="C528" s="58"/>
      <c r="D528" s="58"/>
      <c r="E528" s="58">
        <f t="shared" si="162"/>
        <v>0</v>
      </c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7"/>
    </row>
    <row r="529" spans="1:34" ht="18.75" x14ac:dyDescent="0.4">
      <c r="A529" s="32" t="s">
        <v>112</v>
      </c>
      <c r="B529" s="40"/>
      <c r="C529" s="40"/>
      <c r="D529" s="40"/>
      <c r="E529" s="51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7"/>
    </row>
    <row r="530" spans="1:34" x14ac:dyDescent="0.25">
      <c r="A530" s="60" t="s">
        <v>124</v>
      </c>
      <c r="B530" s="58">
        <v>0</v>
      </c>
      <c r="C530" s="58"/>
      <c r="D530" s="58"/>
      <c r="E530" s="58">
        <f t="shared" ref="E530:E531" si="163">+B530+C530+D530</f>
        <v>0</v>
      </c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7"/>
    </row>
    <row r="531" spans="1:34" x14ac:dyDescent="0.25">
      <c r="A531" s="60" t="s">
        <v>75</v>
      </c>
      <c r="B531" s="61">
        <v>0</v>
      </c>
      <c r="C531" s="58"/>
      <c r="D531" s="58"/>
      <c r="E531" s="58">
        <f t="shared" si="163"/>
        <v>0</v>
      </c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7"/>
    </row>
    <row r="532" spans="1:34" ht="18.75" x14ac:dyDescent="0.4">
      <c r="A532" s="34" t="s">
        <v>113</v>
      </c>
      <c r="B532" s="40"/>
      <c r="C532" s="40"/>
      <c r="D532" s="40"/>
      <c r="E532" s="51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7"/>
    </row>
    <row r="533" spans="1:34" x14ac:dyDescent="0.25">
      <c r="A533" s="59"/>
      <c r="B533" s="58"/>
      <c r="C533" s="58"/>
      <c r="D533" s="58"/>
      <c r="E533" s="58">
        <f t="shared" ref="E533" si="164">+B533+C533+D533</f>
        <v>0</v>
      </c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7"/>
    </row>
    <row r="534" spans="1:34" x14ac:dyDescent="0.25">
      <c r="A534" s="9"/>
      <c r="B534" s="40"/>
      <c r="C534" s="40"/>
      <c r="D534" s="40"/>
      <c r="E534" s="51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7"/>
    </row>
    <row r="535" spans="1:34" x14ac:dyDescent="0.25">
      <c r="A535" s="9"/>
      <c r="B535" s="40"/>
      <c r="C535" s="40"/>
      <c r="D535" s="40"/>
      <c r="E535" s="51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7"/>
    </row>
    <row r="536" spans="1:34" ht="18.75" x14ac:dyDescent="0.4">
      <c r="A536" s="169" t="s">
        <v>48</v>
      </c>
      <c r="B536" s="169"/>
      <c r="C536" s="169"/>
      <c r="D536" s="169"/>
      <c r="E536" s="169"/>
      <c r="F536" s="152"/>
      <c r="G536" s="152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7"/>
    </row>
    <row r="537" spans="1:34" x14ac:dyDescent="0.25">
      <c r="A537" s="23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7"/>
    </row>
    <row r="538" spans="1:34" ht="30" x14ac:dyDescent="0.25">
      <c r="A538" s="33" t="s">
        <v>105</v>
      </c>
      <c r="B538" s="38" t="s">
        <v>106</v>
      </c>
      <c r="C538" s="38" t="s">
        <v>107</v>
      </c>
      <c r="D538" s="38" t="s">
        <v>108</v>
      </c>
      <c r="E538" s="38" t="s">
        <v>109</v>
      </c>
      <c r="F538" s="138"/>
      <c r="G538" s="38" t="s">
        <v>192</v>
      </c>
      <c r="H538" s="38" t="s">
        <v>193</v>
      </c>
      <c r="I538" s="38" t="s">
        <v>194</v>
      </c>
      <c r="J538" s="38" t="s">
        <v>195</v>
      </c>
      <c r="K538" s="38" t="s">
        <v>196</v>
      </c>
      <c r="L538" s="38" t="s">
        <v>197</v>
      </c>
      <c r="M538" s="38" t="s">
        <v>198</v>
      </c>
      <c r="N538" s="38" t="s">
        <v>199</v>
      </c>
      <c r="O538" s="38" t="s">
        <v>200</v>
      </c>
      <c r="P538" s="38" t="s">
        <v>201</v>
      </c>
      <c r="Q538" s="38" t="s">
        <v>202</v>
      </c>
      <c r="R538" s="38" t="s">
        <v>203</v>
      </c>
      <c r="S538" s="137"/>
    </row>
    <row r="539" spans="1:34" ht="18.75" x14ac:dyDescent="0.4">
      <c r="A539" s="32" t="s">
        <v>110</v>
      </c>
      <c r="B539" s="37">
        <f>SUM(B540:B558)</f>
        <v>77564.77</v>
      </c>
      <c r="C539" s="37">
        <f t="shared" ref="C539:E539" si="165">SUM(C540:C558)</f>
        <v>0</v>
      </c>
      <c r="D539" s="37">
        <f t="shared" si="165"/>
        <v>0</v>
      </c>
      <c r="E539" s="37">
        <f t="shared" si="165"/>
        <v>77564.77</v>
      </c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7"/>
    </row>
    <row r="540" spans="1:34" s="3" customFormat="1" ht="11.25" customHeight="1" x14ac:dyDescent="0.15">
      <c r="A540" s="59" t="s">
        <v>1</v>
      </c>
      <c r="B540" s="58">
        <v>10715.57</v>
      </c>
      <c r="C540" s="58"/>
      <c r="D540" s="58"/>
      <c r="E540" s="58">
        <f t="shared" ref="E540:E549" si="166">+B540+C540+D540</f>
        <v>10715.57</v>
      </c>
      <c r="F540" s="138">
        <f>SUM(G540:R540)</f>
        <v>10715.57</v>
      </c>
      <c r="G540" s="138">
        <v>0</v>
      </c>
      <c r="H540" s="138">
        <v>0</v>
      </c>
      <c r="I540" s="138">
        <v>0</v>
      </c>
      <c r="J540" s="138">
        <v>0</v>
      </c>
      <c r="K540" s="138">
        <v>10000</v>
      </c>
      <c r="L540" s="138">
        <v>0</v>
      </c>
      <c r="M540" s="138">
        <v>0</v>
      </c>
      <c r="N540" s="138">
        <v>715.57</v>
      </c>
      <c r="O540" s="138">
        <v>0</v>
      </c>
      <c r="P540" s="138">
        <v>0</v>
      </c>
      <c r="Q540" s="138">
        <v>0</v>
      </c>
      <c r="R540" s="138">
        <v>0</v>
      </c>
      <c r="S540" s="139"/>
      <c r="U540" s="4"/>
      <c r="W540" s="4"/>
      <c r="Y540" s="4"/>
      <c r="AA540" s="4"/>
      <c r="AC540" s="4"/>
      <c r="AE540" s="4"/>
      <c r="AG540" s="4"/>
    </row>
    <row r="541" spans="1:34" s="3" customFormat="1" ht="11.25" customHeight="1" x14ac:dyDescent="0.15">
      <c r="A541" s="59" t="s">
        <v>2</v>
      </c>
      <c r="B541" s="77">
        <v>5543.04</v>
      </c>
      <c r="C541" s="52"/>
      <c r="D541" s="58"/>
      <c r="E541" s="58">
        <f t="shared" si="166"/>
        <v>5543.04</v>
      </c>
      <c r="F541" s="138">
        <f t="shared" ref="F541:F549" si="167">SUM(G541:R541)</f>
        <v>5543.04</v>
      </c>
      <c r="G541" s="138">
        <v>0</v>
      </c>
      <c r="H541" s="138">
        <v>0</v>
      </c>
      <c r="I541" s="138">
        <v>0</v>
      </c>
      <c r="J541" s="146"/>
      <c r="K541" s="146">
        <v>43.04</v>
      </c>
      <c r="L541" s="146"/>
      <c r="M541" s="146"/>
      <c r="N541" s="146">
        <v>3000</v>
      </c>
      <c r="O541" s="146"/>
      <c r="P541" s="146">
        <v>2500</v>
      </c>
      <c r="Q541" s="146"/>
      <c r="R541" s="146"/>
      <c r="S541" s="140"/>
      <c r="T541" s="7"/>
      <c r="U541" s="8"/>
      <c r="V541" s="7"/>
      <c r="W541" s="8"/>
      <c r="X541" s="7"/>
      <c r="Y541" s="8"/>
      <c r="Z541" s="7"/>
      <c r="AA541" s="8"/>
      <c r="AB541" s="7"/>
      <c r="AC541" s="8"/>
      <c r="AD541" s="7"/>
      <c r="AE541" s="8"/>
      <c r="AF541" s="7"/>
      <c r="AG541" s="8"/>
      <c r="AH541" s="7"/>
    </row>
    <row r="542" spans="1:34" s="3" customFormat="1" ht="11.25" customHeight="1" x14ac:dyDescent="0.15">
      <c r="A542" s="59" t="s">
        <v>3</v>
      </c>
      <c r="B542" s="77">
        <v>4000</v>
      </c>
      <c r="C542" s="52"/>
      <c r="D542" s="58"/>
      <c r="E542" s="58">
        <f t="shared" si="166"/>
        <v>4000</v>
      </c>
      <c r="F542" s="138">
        <f t="shared" si="167"/>
        <v>4000</v>
      </c>
      <c r="G542" s="138">
        <v>0</v>
      </c>
      <c r="H542" s="138">
        <v>0</v>
      </c>
      <c r="I542" s="138">
        <v>0</v>
      </c>
      <c r="J542" s="146">
        <v>2000</v>
      </c>
      <c r="K542" s="146"/>
      <c r="L542" s="146"/>
      <c r="M542" s="146">
        <v>2000</v>
      </c>
      <c r="N542" s="138">
        <v>0</v>
      </c>
      <c r="O542" s="138">
        <v>0</v>
      </c>
      <c r="P542" s="138">
        <v>0</v>
      </c>
      <c r="Q542" s="138">
        <v>0</v>
      </c>
      <c r="R542" s="138">
        <v>0</v>
      </c>
      <c r="S542" s="140"/>
      <c r="T542" s="7"/>
      <c r="U542" s="8"/>
      <c r="V542" s="7"/>
      <c r="W542" s="8"/>
      <c r="X542" s="7"/>
      <c r="Y542" s="8"/>
      <c r="Z542" s="7"/>
      <c r="AA542" s="8"/>
      <c r="AB542" s="7"/>
      <c r="AC542" s="8"/>
      <c r="AD542" s="7"/>
      <c r="AE542" s="8"/>
      <c r="AF542" s="7"/>
      <c r="AG542" s="8"/>
      <c r="AH542" s="7"/>
    </row>
    <row r="543" spans="1:34" x14ac:dyDescent="0.25">
      <c r="A543" s="59" t="s">
        <v>39</v>
      </c>
      <c r="B543" s="58">
        <v>0</v>
      </c>
      <c r="C543" s="58"/>
      <c r="D543" s="58"/>
      <c r="E543" s="58">
        <f t="shared" si="166"/>
        <v>0</v>
      </c>
      <c r="F543" s="138">
        <f t="shared" si="167"/>
        <v>0</v>
      </c>
      <c r="G543" s="138">
        <v>0</v>
      </c>
      <c r="H543" s="138">
        <v>0</v>
      </c>
      <c r="I543" s="138">
        <v>0</v>
      </c>
      <c r="J543" s="138"/>
      <c r="K543" s="138"/>
      <c r="L543" s="138"/>
      <c r="M543" s="138"/>
      <c r="N543" s="138">
        <v>0</v>
      </c>
      <c r="O543" s="138">
        <v>0</v>
      </c>
      <c r="P543" s="138">
        <v>0</v>
      </c>
      <c r="Q543" s="138">
        <v>0</v>
      </c>
      <c r="R543" s="138">
        <v>0</v>
      </c>
      <c r="S543" s="137"/>
    </row>
    <row r="544" spans="1:34" x14ac:dyDescent="0.25">
      <c r="A544" s="59" t="s">
        <v>18</v>
      </c>
      <c r="B544" s="58">
        <v>10000</v>
      </c>
      <c r="C544" s="58"/>
      <c r="D544" s="58"/>
      <c r="E544" s="58">
        <f t="shared" si="166"/>
        <v>10000</v>
      </c>
      <c r="F544" s="138">
        <f t="shared" si="167"/>
        <v>10000</v>
      </c>
      <c r="G544" s="138">
        <v>0</v>
      </c>
      <c r="H544" s="138">
        <v>0</v>
      </c>
      <c r="I544" s="138">
        <v>0</v>
      </c>
      <c r="J544" s="138"/>
      <c r="K544" s="138">
        <v>3000</v>
      </c>
      <c r="L544" s="138"/>
      <c r="M544" s="138">
        <v>3500</v>
      </c>
      <c r="N544" s="138"/>
      <c r="O544" s="138">
        <v>2500</v>
      </c>
      <c r="P544" s="138">
        <v>1000</v>
      </c>
      <c r="Q544" s="138"/>
      <c r="R544" s="138"/>
      <c r="S544" s="137"/>
    </row>
    <row r="545" spans="1:19" x14ac:dyDescent="0.25">
      <c r="A545" s="59" t="s">
        <v>19</v>
      </c>
      <c r="B545" s="58">
        <v>2000</v>
      </c>
      <c r="C545" s="58"/>
      <c r="D545" s="58"/>
      <c r="E545" s="58">
        <f t="shared" si="166"/>
        <v>2000</v>
      </c>
      <c r="F545" s="138">
        <f t="shared" si="167"/>
        <v>2000</v>
      </c>
      <c r="G545" s="138">
        <v>0</v>
      </c>
      <c r="H545" s="138">
        <v>0</v>
      </c>
      <c r="I545" s="138">
        <v>0</v>
      </c>
      <c r="J545" s="138">
        <v>0</v>
      </c>
      <c r="K545" s="138">
        <v>0</v>
      </c>
      <c r="L545" s="138">
        <v>0</v>
      </c>
      <c r="M545" s="138">
        <v>0</v>
      </c>
      <c r="N545" s="138">
        <v>0</v>
      </c>
      <c r="O545" s="138">
        <v>0</v>
      </c>
      <c r="P545" s="138"/>
      <c r="Q545" s="138">
        <v>1000</v>
      </c>
      <c r="R545" s="138">
        <v>1000</v>
      </c>
      <c r="S545" s="137"/>
    </row>
    <row r="546" spans="1:19" x14ac:dyDescent="0.25">
      <c r="A546" s="59" t="s">
        <v>8</v>
      </c>
      <c r="B546" s="58">
        <v>1668</v>
      </c>
      <c r="C546" s="58"/>
      <c r="D546" s="58"/>
      <c r="E546" s="58">
        <f t="shared" si="166"/>
        <v>1668</v>
      </c>
      <c r="F546" s="138">
        <f t="shared" si="167"/>
        <v>1668</v>
      </c>
      <c r="G546" s="138">
        <v>0</v>
      </c>
      <c r="H546" s="138">
        <v>0</v>
      </c>
      <c r="I546" s="138">
        <v>0</v>
      </c>
      <c r="J546" s="138">
        <v>0</v>
      </c>
      <c r="K546" s="138">
        <v>0</v>
      </c>
      <c r="L546" s="138">
        <v>0</v>
      </c>
      <c r="M546" s="138">
        <v>0</v>
      </c>
      <c r="N546" s="138">
        <v>0</v>
      </c>
      <c r="O546" s="138">
        <v>0</v>
      </c>
      <c r="P546" s="138">
        <v>1668</v>
      </c>
      <c r="Q546" s="138"/>
      <c r="R546" s="138"/>
      <c r="S546" s="137"/>
    </row>
    <row r="547" spans="1:19" x14ac:dyDescent="0.25">
      <c r="A547" s="59" t="s">
        <v>11</v>
      </c>
      <c r="B547" s="58">
        <v>7500</v>
      </c>
      <c r="C547" s="58"/>
      <c r="D547" s="58"/>
      <c r="E547" s="58">
        <f t="shared" si="166"/>
        <v>7500</v>
      </c>
      <c r="F547" s="138">
        <f t="shared" si="167"/>
        <v>7500</v>
      </c>
      <c r="G547" s="138">
        <v>0</v>
      </c>
      <c r="H547" s="138">
        <v>0</v>
      </c>
      <c r="I547" s="138">
        <v>0</v>
      </c>
      <c r="J547" s="138">
        <v>0</v>
      </c>
      <c r="K547" s="138">
        <v>0</v>
      </c>
      <c r="L547" s="138">
        <v>0</v>
      </c>
      <c r="M547" s="138">
        <v>0</v>
      </c>
      <c r="N547" s="138">
        <v>0</v>
      </c>
      <c r="O547" s="138">
        <v>0</v>
      </c>
      <c r="P547" s="138"/>
      <c r="Q547" s="138">
        <v>3500</v>
      </c>
      <c r="R547" s="138">
        <v>4000</v>
      </c>
      <c r="S547" s="137"/>
    </row>
    <row r="548" spans="1:19" x14ac:dyDescent="0.25">
      <c r="A548" s="59" t="s">
        <v>227</v>
      </c>
      <c r="B548" s="58">
        <v>34138.160000000003</v>
      </c>
      <c r="C548" s="58"/>
      <c r="D548" s="58"/>
      <c r="E548" s="58">
        <f t="shared" si="166"/>
        <v>34138.160000000003</v>
      </c>
      <c r="F548" s="138">
        <f t="shared" si="167"/>
        <v>34138.160000000003</v>
      </c>
      <c r="G548" s="138">
        <v>0</v>
      </c>
      <c r="H548" s="138">
        <v>0</v>
      </c>
      <c r="I548" s="138">
        <v>0</v>
      </c>
      <c r="J548" s="138">
        <v>0</v>
      </c>
      <c r="K548" s="138">
        <v>0</v>
      </c>
      <c r="L548" s="138">
        <v>0</v>
      </c>
      <c r="M548" s="138">
        <v>0</v>
      </c>
      <c r="N548" s="138">
        <v>34138.160000000003</v>
      </c>
      <c r="O548" s="138"/>
      <c r="P548" s="138"/>
      <c r="Q548" s="138"/>
      <c r="R548" s="138"/>
      <c r="S548" s="137"/>
    </row>
    <row r="549" spans="1:19" x14ac:dyDescent="0.25">
      <c r="A549" s="59" t="s">
        <v>172</v>
      </c>
      <c r="B549" s="58">
        <v>2000</v>
      </c>
      <c r="C549" s="58"/>
      <c r="D549" s="58"/>
      <c r="E549" s="58">
        <f t="shared" si="166"/>
        <v>2000</v>
      </c>
      <c r="F549" s="138">
        <f t="shared" si="167"/>
        <v>2000</v>
      </c>
      <c r="G549" s="138">
        <v>0</v>
      </c>
      <c r="H549" s="138">
        <v>0</v>
      </c>
      <c r="I549" s="138">
        <v>0</v>
      </c>
      <c r="J549" s="138">
        <v>0</v>
      </c>
      <c r="K549" s="138">
        <v>0</v>
      </c>
      <c r="L549" s="138">
        <v>0</v>
      </c>
      <c r="M549" s="138">
        <v>0</v>
      </c>
      <c r="N549" s="138"/>
      <c r="O549" s="138"/>
      <c r="P549" s="138">
        <v>2000</v>
      </c>
      <c r="Q549" s="138"/>
      <c r="R549" s="138">
        <v>0</v>
      </c>
      <c r="S549" s="137"/>
    </row>
    <row r="550" spans="1:19" x14ac:dyDescent="0.25">
      <c r="A550" s="9"/>
      <c r="B550" s="40"/>
      <c r="C550" s="40"/>
      <c r="D550" s="40"/>
      <c r="E550" s="51"/>
      <c r="F550" s="138" t="s">
        <v>75</v>
      </c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7"/>
    </row>
    <row r="551" spans="1:19" ht="18.75" x14ac:dyDescent="0.4">
      <c r="A551" s="32" t="s">
        <v>111</v>
      </c>
      <c r="B551" s="40"/>
      <c r="C551" s="40"/>
      <c r="D551" s="40"/>
      <c r="E551" s="51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7"/>
    </row>
    <row r="552" spans="1:19" x14ac:dyDescent="0.25">
      <c r="A552" s="59"/>
      <c r="B552" s="58"/>
      <c r="C552" s="58"/>
      <c r="D552" s="58"/>
      <c r="E552" s="58">
        <f t="shared" ref="E552:E553" si="168">+B552+C552+D552</f>
        <v>0</v>
      </c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7"/>
    </row>
    <row r="553" spans="1:19" x14ac:dyDescent="0.25">
      <c r="A553" s="59"/>
      <c r="B553" s="58"/>
      <c r="C553" s="58"/>
      <c r="D553" s="58"/>
      <c r="E553" s="58">
        <f t="shared" si="168"/>
        <v>0</v>
      </c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7"/>
    </row>
    <row r="554" spans="1:19" ht="18.75" x14ac:dyDescent="0.4">
      <c r="A554" s="32" t="s">
        <v>112</v>
      </c>
      <c r="B554" s="40"/>
      <c r="C554" s="40"/>
      <c r="D554" s="40"/>
      <c r="E554" s="51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7"/>
    </row>
    <row r="555" spans="1:19" x14ac:dyDescent="0.25">
      <c r="A555" s="60" t="s">
        <v>124</v>
      </c>
      <c r="B555" s="58">
        <v>0</v>
      </c>
      <c r="C555" s="58"/>
      <c r="D555" s="58"/>
      <c r="E555" s="58">
        <f t="shared" ref="E555:E556" si="169">+B555+C555+D555</f>
        <v>0</v>
      </c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7"/>
    </row>
    <row r="556" spans="1:19" x14ac:dyDescent="0.25">
      <c r="A556" s="60" t="s">
        <v>75</v>
      </c>
      <c r="B556" s="61">
        <v>0</v>
      </c>
      <c r="C556" s="58"/>
      <c r="D556" s="58"/>
      <c r="E556" s="58">
        <f t="shared" si="169"/>
        <v>0</v>
      </c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7"/>
    </row>
    <row r="557" spans="1:19" ht="18.75" x14ac:dyDescent="0.4">
      <c r="A557" s="34" t="s">
        <v>113</v>
      </c>
      <c r="B557" s="40"/>
      <c r="C557" s="40"/>
      <c r="D557" s="40"/>
      <c r="E557" s="51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7"/>
    </row>
    <row r="558" spans="1:19" x14ac:dyDescent="0.25">
      <c r="A558" s="59"/>
      <c r="B558" s="58"/>
      <c r="C558" s="58"/>
      <c r="D558" s="58"/>
      <c r="E558" s="58">
        <f t="shared" ref="E558" si="170">+B558+C558+D558</f>
        <v>0</v>
      </c>
      <c r="F558" s="138"/>
      <c r="G558" s="138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7"/>
    </row>
    <row r="559" spans="1:19" x14ac:dyDescent="0.25">
      <c r="A559" s="9"/>
      <c r="B559" s="40"/>
      <c r="C559" s="40"/>
      <c r="D559" s="40"/>
      <c r="E559" s="51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7"/>
    </row>
    <row r="560" spans="1:19" x14ac:dyDescent="0.25">
      <c r="A560" s="9"/>
      <c r="B560" s="40"/>
      <c r="C560" s="40"/>
      <c r="D560" s="40"/>
      <c r="E560" s="51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7"/>
    </row>
    <row r="561" spans="1:34" ht="15.75" x14ac:dyDescent="0.3">
      <c r="A561" s="170" t="s">
        <v>49</v>
      </c>
      <c r="B561" s="170"/>
      <c r="C561" s="170"/>
      <c r="D561" s="170"/>
      <c r="E561" s="170"/>
      <c r="F561" s="152"/>
      <c r="G561" s="152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7"/>
    </row>
    <row r="562" spans="1:34" x14ac:dyDescent="0.25">
      <c r="A562" s="23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7"/>
    </row>
    <row r="563" spans="1:34" ht="30" x14ac:dyDescent="0.25">
      <c r="A563" s="33" t="s">
        <v>105</v>
      </c>
      <c r="B563" s="38" t="s">
        <v>106</v>
      </c>
      <c r="C563" s="38" t="s">
        <v>107</v>
      </c>
      <c r="D563" s="38" t="s">
        <v>108</v>
      </c>
      <c r="E563" s="38" t="s">
        <v>109</v>
      </c>
      <c r="F563" s="138"/>
      <c r="G563" s="38" t="s">
        <v>192</v>
      </c>
      <c r="H563" s="38" t="s">
        <v>193</v>
      </c>
      <c r="I563" s="38" t="s">
        <v>194</v>
      </c>
      <c r="J563" s="38" t="s">
        <v>195</v>
      </c>
      <c r="K563" s="38" t="s">
        <v>196</v>
      </c>
      <c r="L563" s="38" t="s">
        <v>197</v>
      </c>
      <c r="M563" s="38" t="s">
        <v>198</v>
      </c>
      <c r="N563" s="38" t="s">
        <v>199</v>
      </c>
      <c r="O563" s="38" t="s">
        <v>200</v>
      </c>
      <c r="P563" s="38" t="s">
        <v>201</v>
      </c>
      <c r="Q563" s="38" t="s">
        <v>202</v>
      </c>
      <c r="R563" s="38" t="s">
        <v>203</v>
      </c>
      <c r="S563" s="137"/>
    </row>
    <row r="564" spans="1:34" ht="18.75" x14ac:dyDescent="0.4">
      <c r="A564" s="32" t="s">
        <v>110</v>
      </c>
      <c r="B564" s="37">
        <f>SUM(B565:B580)</f>
        <v>39469.919999999998</v>
      </c>
      <c r="C564" s="37">
        <f t="shared" ref="C564:E564" si="171">SUM(C565:C580)</f>
        <v>0</v>
      </c>
      <c r="D564" s="37">
        <f t="shared" si="171"/>
        <v>0</v>
      </c>
      <c r="E564" s="37">
        <f t="shared" si="171"/>
        <v>39469.919999999998</v>
      </c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7"/>
    </row>
    <row r="565" spans="1:34" s="3" customFormat="1" ht="11.25" customHeight="1" x14ac:dyDescent="0.15">
      <c r="A565" s="59" t="s">
        <v>1</v>
      </c>
      <c r="B565" s="58">
        <v>6300</v>
      </c>
      <c r="C565" s="58"/>
      <c r="D565" s="58"/>
      <c r="E565" s="58">
        <f t="shared" ref="E565:E571" si="172">+B565+C565+D565</f>
        <v>6300</v>
      </c>
      <c r="F565" s="138">
        <f>SUM(G565:R565)</f>
        <v>6300</v>
      </c>
      <c r="G565" s="138">
        <v>0</v>
      </c>
      <c r="H565" s="138">
        <v>0</v>
      </c>
      <c r="I565" s="138">
        <v>0</v>
      </c>
      <c r="J565" s="138">
        <v>0</v>
      </c>
      <c r="K565" s="138">
        <v>6300</v>
      </c>
      <c r="L565" s="138">
        <v>0</v>
      </c>
      <c r="M565" s="138">
        <v>0</v>
      </c>
      <c r="N565" s="138">
        <v>0</v>
      </c>
      <c r="O565" s="138">
        <v>0</v>
      </c>
      <c r="P565" s="138">
        <v>0</v>
      </c>
      <c r="Q565" s="138">
        <v>0</v>
      </c>
      <c r="R565" s="138">
        <v>0</v>
      </c>
      <c r="S565" s="139"/>
      <c r="U565" s="4"/>
      <c r="W565" s="4"/>
      <c r="Y565" s="4"/>
      <c r="AA565" s="4"/>
      <c r="AC565" s="4"/>
      <c r="AE565" s="4"/>
      <c r="AG565" s="4"/>
    </row>
    <row r="566" spans="1:34" s="3" customFormat="1" ht="11.25" customHeight="1" x14ac:dyDescent="0.15">
      <c r="A566" s="59" t="s">
        <v>2</v>
      </c>
      <c r="B566" s="77">
        <v>3000</v>
      </c>
      <c r="C566" s="52"/>
      <c r="D566" s="58"/>
      <c r="E566" s="58">
        <f t="shared" si="172"/>
        <v>3000</v>
      </c>
      <c r="F566" s="138">
        <f t="shared" ref="F566:F571" si="173">SUM(G566:R566)</f>
        <v>3000</v>
      </c>
      <c r="G566" s="138">
        <v>0</v>
      </c>
      <c r="H566" s="138">
        <v>0</v>
      </c>
      <c r="I566" s="138">
        <v>0</v>
      </c>
      <c r="J566" s="138">
        <v>0</v>
      </c>
      <c r="K566" s="146"/>
      <c r="L566" s="138">
        <v>0</v>
      </c>
      <c r="M566" s="138">
        <v>0</v>
      </c>
      <c r="N566" s="138">
        <v>0</v>
      </c>
      <c r="O566" s="138">
        <v>0</v>
      </c>
      <c r="P566" s="146">
        <v>1500</v>
      </c>
      <c r="Q566" s="146">
        <v>1500</v>
      </c>
      <c r="R566" s="146"/>
      <c r="S566" s="140"/>
      <c r="T566" s="7"/>
      <c r="U566" s="8"/>
      <c r="V566" s="7"/>
      <c r="W566" s="8"/>
      <c r="X566" s="7"/>
      <c r="Y566" s="8"/>
      <c r="Z566" s="7"/>
      <c r="AA566" s="8"/>
      <c r="AB566" s="7"/>
      <c r="AC566" s="8"/>
      <c r="AD566" s="7"/>
      <c r="AE566" s="8"/>
      <c r="AF566" s="7"/>
      <c r="AG566" s="8"/>
      <c r="AH566" s="7"/>
    </row>
    <row r="567" spans="1:34" x14ac:dyDescent="0.25">
      <c r="A567" s="59" t="s">
        <v>39</v>
      </c>
      <c r="B567" s="58">
        <v>20251.87</v>
      </c>
      <c r="C567" s="58"/>
      <c r="D567" s="58"/>
      <c r="E567" s="58">
        <f t="shared" si="172"/>
        <v>20251.87</v>
      </c>
      <c r="F567" s="138">
        <f t="shared" si="173"/>
        <v>20251.87</v>
      </c>
      <c r="G567" s="138">
        <v>0</v>
      </c>
      <c r="H567" s="138">
        <v>0</v>
      </c>
      <c r="I567" s="138">
        <v>0</v>
      </c>
      <c r="J567" s="138">
        <v>0</v>
      </c>
      <c r="K567" s="138">
        <v>10000</v>
      </c>
      <c r="L567" s="138">
        <v>0</v>
      </c>
      <c r="M567" s="138">
        <v>1899.87</v>
      </c>
      <c r="N567" s="138">
        <v>8352</v>
      </c>
      <c r="O567" s="138">
        <v>0</v>
      </c>
      <c r="P567" s="138">
        <v>0</v>
      </c>
      <c r="Q567" s="138">
        <v>0</v>
      </c>
      <c r="R567" s="138">
        <v>0</v>
      </c>
      <c r="S567" s="137"/>
    </row>
    <row r="568" spans="1:34" x14ac:dyDescent="0.25">
      <c r="A568" s="59" t="s">
        <v>18</v>
      </c>
      <c r="B568" s="58">
        <v>1000</v>
      </c>
      <c r="C568" s="58"/>
      <c r="D568" s="58"/>
      <c r="E568" s="58">
        <f t="shared" si="172"/>
        <v>1000</v>
      </c>
      <c r="F568" s="138">
        <f t="shared" si="173"/>
        <v>1000</v>
      </c>
      <c r="G568" s="138">
        <v>0</v>
      </c>
      <c r="H568" s="138">
        <v>0</v>
      </c>
      <c r="I568" s="138">
        <v>0</v>
      </c>
      <c r="J568" s="138">
        <v>0</v>
      </c>
      <c r="K568" s="138">
        <v>0</v>
      </c>
      <c r="L568" s="138">
        <v>0</v>
      </c>
      <c r="M568" s="138">
        <v>0</v>
      </c>
      <c r="N568" s="138">
        <v>0</v>
      </c>
      <c r="O568" s="138">
        <v>0</v>
      </c>
      <c r="P568" s="138"/>
      <c r="Q568" s="138">
        <v>1000</v>
      </c>
      <c r="R568" s="138"/>
      <c r="S568" s="137"/>
    </row>
    <row r="569" spans="1:34" x14ac:dyDescent="0.25">
      <c r="A569" s="59" t="s">
        <v>19</v>
      </c>
      <c r="B569" s="58">
        <v>600</v>
      </c>
      <c r="C569" s="58"/>
      <c r="D569" s="58"/>
      <c r="E569" s="58">
        <f t="shared" si="172"/>
        <v>600</v>
      </c>
      <c r="F569" s="138">
        <f t="shared" si="173"/>
        <v>600</v>
      </c>
      <c r="G569" s="138">
        <v>0</v>
      </c>
      <c r="H569" s="138">
        <v>0</v>
      </c>
      <c r="I569" s="138">
        <v>0</v>
      </c>
      <c r="J569" s="138">
        <v>0</v>
      </c>
      <c r="K569" s="138">
        <v>0</v>
      </c>
      <c r="L569" s="138">
        <v>0</v>
      </c>
      <c r="M569" s="138">
        <v>0</v>
      </c>
      <c r="N569" s="138">
        <v>0</v>
      </c>
      <c r="O569" s="138">
        <v>0</v>
      </c>
      <c r="P569" s="138">
        <v>600</v>
      </c>
      <c r="Q569" s="138">
        <v>0</v>
      </c>
      <c r="R569" s="138">
        <v>0</v>
      </c>
      <c r="S569" s="137"/>
    </row>
    <row r="570" spans="1:34" x14ac:dyDescent="0.25">
      <c r="A570" s="59" t="s">
        <v>10</v>
      </c>
      <c r="B570" s="58">
        <v>4518.05</v>
      </c>
      <c r="C570" s="58"/>
      <c r="D570" s="58"/>
      <c r="E570" s="58">
        <f t="shared" si="172"/>
        <v>4518.05</v>
      </c>
      <c r="F570" s="138">
        <f t="shared" si="173"/>
        <v>4518.05</v>
      </c>
      <c r="G570" s="138">
        <v>0</v>
      </c>
      <c r="H570" s="138">
        <v>0</v>
      </c>
      <c r="I570" s="138">
        <v>0</v>
      </c>
      <c r="J570" s="138">
        <v>166.05</v>
      </c>
      <c r="K570" s="138">
        <v>2852</v>
      </c>
      <c r="L570" s="138">
        <v>0</v>
      </c>
      <c r="M570" s="138">
        <v>0</v>
      </c>
      <c r="N570" s="138">
        <v>0</v>
      </c>
      <c r="O570" s="138">
        <v>0</v>
      </c>
      <c r="P570" s="138">
        <v>1500</v>
      </c>
      <c r="Q570" s="138">
        <v>0</v>
      </c>
      <c r="R570" s="138">
        <v>0</v>
      </c>
      <c r="S570" s="137"/>
    </row>
    <row r="571" spans="1:34" x14ac:dyDescent="0.25">
      <c r="A571" s="59" t="s">
        <v>11</v>
      </c>
      <c r="B571" s="58">
        <v>3800</v>
      </c>
      <c r="C571" s="58"/>
      <c r="D571" s="58"/>
      <c r="E571" s="58">
        <f t="shared" si="172"/>
        <v>3800</v>
      </c>
      <c r="F571" s="138">
        <f t="shared" si="173"/>
        <v>3800</v>
      </c>
      <c r="G571" s="138">
        <v>0</v>
      </c>
      <c r="H571" s="138">
        <v>0</v>
      </c>
      <c r="I571" s="138">
        <v>0</v>
      </c>
      <c r="J571" s="138">
        <v>0</v>
      </c>
      <c r="K571" s="138">
        <v>0</v>
      </c>
      <c r="L571" s="138">
        <v>0</v>
      </c>
      <c r="M571" s="138">
        <v>0</v>
      </c>
      <c r="N571" s="138">
        <v>0</v>
      </c>
      <c r="O571" s="138">
        <v>0</v>
      </c>
      <c r="P571" s="138">
        <v>0</v>
      </c>
      <c r="Q571" s="138">
        <v>3800</v>
      </c>
      <c r="R571" s="138"/>
      <c r="S571" s="137"/>
    </row>
    <row r="572" spans="1:34" x14ac:dyDescent="0.25">
      <c r="A572" s="9"/>
      <c r="B572" s="40"/>
      <c r="C572" s="40"/>
      <c r="D572" s="40"/>
      <c r="E572" s="51"/>
      <c r="F572" s="138" t="s">
        <v>75</v>
      </c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7"/>
    </row>
    <row r="573" spans="1:34" ht="18.75" x14ac:dyDescent="0.4">
      <c r="A573" s="32" t="s">
        <v>111</v>
      </c>
      <c r="B573" s="40"/>
      <c r="C573" s="40"/>
      <c r="D573" s="40"/>
      <c r="E573" s="51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7"/>
    </row>
    <row r="574" spans="1:34" x14ac:dyDescent="0.25">
      <c r="A574" s="59"/>
      <c r="B574" s="58"/>
      <c r="C574" s="58"/>
      <c r="D574" s="58"/>
      <c r="E574" s="58">
        <f t="shared" ref="E574:E575" si="174">+B574+C574+D574</f>
        <v>0</v>
      </c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7"/>
    </row>
    <row r="575" spans="1:34" x14ac:dyDescent="0.25">
      <c r="A575" s="59"/>
      <c r="B575" s="58"/>
      <c r="C575" s="58"/>
      <c r="D575" s="58"/>
      <c r="E575" s="58">
        <f t="shared" si="174"/>
        <v>0</v>
      </c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7"/>
    </row>
    <row r="576" spans="1:34" ht="18.75" x14ac:dyDescent="0.4">
      <c r="A576" s="32" t="s">
        <v>112</v>
      </c>
      <c r="B576" s="40"/>
      <c r="C576" s="40"/>
      <c r="D576" s="40"/>
      <c r="E576" s="51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7"/>
    </row>
    <row r="577" spans="1:34" x14ac:dyDescent="0.25">
      <c r="A577" s="60" t="s">
        <v>124</v>
      </c>
      <c r="B577" s="58">
        <v>0</v>
      </c>
      <c r="C577" s="58"/>
      <c r="D577" s="58"/>
      <c r="E577" s="58">
        <f t="shared" ref="E577:E578" si="175">+B577+C577+D577</f>
        <v>0</v>
      </c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7"/>
    </row>
    <row r="578" spans="1:34" x14ac:dyDescent="0.25">
      <c r="A578" s="60" t="s">
        <v>75</v>
      </c>
      <c r="B578" s="61">
        <v>0</v>
      </c>
      <c r="C578" s="58"/>
      <c r="D578" s="58"/>
      <c r="E578" s="58">
        <f t="shared" si="175"/>
        <v>0</v>
      </c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7"/>
    </row>
    <row r="579" spans="1:34" ht="18.75" x14ac:dyDescent="0.4">
      <c r="A579" s="34" t="s">
        <v>113</v>
      </c>
      <c r="B579" s="40"/>
      <c r="C579" s="40"/>
      <c r="D579" s="40"/>
      <c r="E579" s="51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7"/>
    </row>
    <row r="580" spans="1:34" x14ac:dyDescent="0.25">
      <c r="A580" s="59"/>
      <c r="B580" s="58"/>
      <c r="C580" s="58"/>
      <c r="D580" s="58"/>
      <c r="E580" s="58">
        <f t="shared" ref="E580" si="176">+B580+C580+D580</f>
        <v>0</v>
      </c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7"/>
    </row>
    <row r="581" spans="1:34" x14ac:dyDescent="0.25">
      <c r="A581" s="9"/>
      <c r="B581" s="40"/>
      <c r="C581" s="40"/>
      <c r="D581" s="40"/>
      <c r="E581" s="51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7"/>
    </row>
    <row r="582" spans="1:34" x14ac:dyDescent="0.25">
      <c r="A582" s="9"/>
      <c r="B582" s="40"/>
      <c r="C582" s="40"/>
      <c r="D582" s="40"/>
      <c r="E582" s="51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7"/>
    </row>
    <row r="583" spans="1:34" x14ac:dyDescent="0.25">
      <c r="A583" s="9"/>
      <c r="B583" s="40"/>
      <c r="C583" s="40"/>
      <c r="D583" s="40"/>
      <c r="E583" s="51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7"/>
    </row>
    <row r="584" spans="1:34" ht="15.75" x14ac:dyDescent="0.3">
      <c r="A584" s="170" t="s">
        <v>50</v>
      </c>
      <c r="B584" s="170"/>
      <c r="C584" s="170"/>
      <c r="D584" s="170"/>
      <c r="E584" s="170"/>
      <c r="F584" s="152"/>
      <c r="G584" s="152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7"/>
    </row>
    <row r="585" spans="1:34" x14ac:dyDescent="0.25">
      <c r="A585" s="23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7"/>
    </row>
    <row r="586" spans="1:34" ht="30" x14ac:dyDescent="0.25">
      <c r="A586" s="33" t="s">
        <v>105</v>
      </c>
      <c r="B586" s="38" t="s">
        <v>106</v>
      </c>
      <c r="C586" s="38" t="s">
        <v>107</v>
      </c>
      <c r="D586" s="38" t="s">
        <v>108</v>
      </c>
      <c r="E586" s="38" t="s">
        <v>109</v>
      </c>
      <c r="F586" s="138"/>
      <c r="G586" s="38" t="s">
        <v>192</v>
      </c>
      <c r="H586" s="38" t="s">
        <v>193</v>
      </c>
      <c r="I586" s="38" t="s">
        <v>194</v>
      </c>
      <c r="J586" s="38" t="s">
        <v>195</v>
      </c>
      <c r="K586" s="38" t="s">
        <v>196</v>
      </c>
      <c r="L586" s="38" t="s">
        <v>197</v>
      </c>
      <c r="M586" s="38" t="s">
        <v>198</v>
      </c>
      <c r="N586" s="38" t="s">
        <v>199</v>
      </c>
      <c r="O586" s="38" t="s">
        <v>200</v>
      </c>
      <c r="P586" s="38" t="s">
        <v>201</v>
      </c>
      <c r="Q586" s="38" t="s">
        <v>202</v>
      </c>
      <c r="R586" s="38" t="s">
        <v>203</v>
      </c>
      <c r="S586" s="137"/>
    </row>
    <row r="587" spans="1:34" ht="18.75" x14ac:dyDescent="0.4">
      <c r="A587" s="32" t="s">
        <v>110</v>
      </c>
      <c r="B587" s="37">
        <f>SUM(B588:B604)</f>
        <v>21890.070000000003</v>
      </c>
      <c r="C587" s="37">
        <f t="shared" ref="C587:E587" si="177">SUM(C588:C604)</f>
        <v>0</v>
      </c>
      <c r="D587" s="37">
        <f t="shared" si="177"/>
        <v>0</v>
      </c>
      <c r="E587" s="37">
        <f t="shared" si="177"/>
        <v>21890.070000000003</v>
      </c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7"/>
    </row>
    <row r="588" spans="1:34" s="3" customFormat="1" ht="11.25" customHeight="1" x14ac:dyDescent="0.15">
      <c r="A588" s="59" t="s">
        <v>1</v>
      </c>
      <c r="B588" s="58">
        <v>6082.81</v>
      </c>
      <c r="C588" s="58"/>
      <c r="D588" s="58"/>
      <c r="E588" s="58">
        <f t="shared" ref="E588:E595" si="178">+B588+C588+D588</f>
        <v>6082.81</v>
      </c>
      <c r="F588" s="138">
        <f>SUM(G588:R588)</f>
        <v>6082.8099999999995</v>
      </c>
      <c r="G588" s="138">
        <v>0</v>
      </c>
      <c r="H588" s="138">
        <v>0</v>
      </c>
      <c r="I588" s="138">
        <v>0</v>
      </c>
      <c r="J588" s="138">
        <v>0</v>
      </c>
      <c r="K588" s="138">
        <v>132.24</v>
      </c>
      <c r="L588" s="138">
        <v>3770.35</v>
      </c>
      <c r="M588" s="138">
        <v>0</v>
      </c>
      <c r="N588" s="138">
        <v>858.4</v>
      </c>
      <c r="O588" s="138">
        <v>1321.82</v>
      </c>
      <c r="P588" s="138">
        <v>0</v>
      </c>
      <c r="Q588" s="138">
        <v>0</v>
      </c>
      <c r="R588" s="138">
        <v>0</v>
      </c>
      <c r="S588" s="139"/>
      <c r="U588" s="4"/>
      <c r="W588" s="4"/>
      <c r="Y588" s="4"/>
      <c r="AA588" s="4"/>
      <c r="AC588" s="4"/>
      <c r="AE588" s="4"/>
      <c r="AG588" s="4"/>
    </row>
    <row r="589" spans="1:34" s="3" customFormat="1" ht="11.25" customHeight="1" x14ac:dyDescent="0.15">
      <c r="A589" s="59" t="s">
        <v>3</v>
      </c>
      <c r="B589" s="77">
        <v>422.01</v>
      </c>
      <c r="C589" s="52"/>
      <c r="D589" s="58"/>
      <c r="E589" s="58">
        <f t="shared" si="178"/>
        <v>422.01</v>
      </c>
      <c r="F589" s="138">
        <f t="shared" ref="F589:F595" si="179">SUM(G589:R589)</f>
        <v>422.01</v>
      </c>
      <c r="G589" s="146">
        <v>0</v>
      </c>
      <c r="H589" s="142">
        <v>0</v>
      </c>
      <c r="I589" s="146">
        <v>0</v>
      </c>
      <c r="J589" s="146">
        <v>0</v>
      </c>
      <c r="K589" s="146">
        <v>422.01</v>
      </c>
      <c r="L589" s="146">
        <v>0</v>
      </c>
      <c r="M589" s="146">
        <v>0</v>
      </c>
      <c r="N589" s="146">
        <v>0</v>
      </c>
      <c r="O589" s="146">
        <v>0</v>
      </c>
      <c r="P589" s="146">
        <v>0</v>
      </c>
      <c r="Q589" s="146">
        <v>0</v>
      </c>
      <c r="R589" s="146">
        <v>0</v>
      </c>
      <c r="S589" s="140"/>
      <c r="T589" s="7"/>
      <c r="U589" s="8"/>
      <c r="V589" s="7"/>
      <c r="W589" s="8"/>
      <c r="X589" s="7"/>
      <c r="Y589" s="8"/>
      <c r="Z589" s="7"/>
      <c r="AA589" s="8"/>
      <c r="AB589" s="7"/>
      <c r="AC589" s="8"/>
      <c r="AD589" s="7"/>
      <c r="AE589" s="8"/>
      <c r="AF589" s="7"/>
      <c r="AG589" s="8"/>
      <c r="AH589" s="7"/>
    </row>
    <row r="590" spans="1:34" x14ac:dyDescent="0.25">
      <c r="A590" s="59" t="s">
        <v>39</v>
      </c>
      <c r="B590" s="58">
        <v>11147.6</v>
      </c>
      <c r="C590" s="58">
        <v>0</v>
      </c>
      <c r="D590" s="58"/>
      <c r="E590" s="58">
        <f t="shared" si="178"/>
        <v>11147.6</v>
      </c>
      <c r="F590" s="138">
        <f t="shared" si="179"/>
        <v>11147.6</v>
      </c>
      <c r="G590" s="138">
        <v>0</v>
      </c>
      <c r="H590" s="138">
        <v>0</v>
      </c>
      <c r="I590" s="138">
        <v>0</v>
      </c>
      <c r="J590" s="138">
        <v>0</v>
      </c>
      <c r="K590" s="138">
        <v>0</v>
      </c>
      <c r="L590" s="138">
        <v>0</v>
      </c>
      <c r="M590" s="138">
        <v>0</v>
      </c>
      <c r="N590" s="138">
        <v>200.1</v>
      </c>
      <c r="O590" s="138">
        <v>10947.5</v>
      </c>
      <c r="P590" s="138">
        <v>0</v>
      </c>
      <c r="Q590" s="138">
        <v>0</v>
      </c>
      <c r="R590" s="138">
        <v>0</v>
      </c>
      <c r="S590" s="137"/>
    </row>
    <row r="591" spans="1:34" x14ac:dyDescent="0.25">
      <c r="A591" s="59" t="s">
        <v>18</v>
      </c>
      <c r="B591" s="58">
        <v>0</v>
      </c>
      <c r="C591" s="58"/>
      <c r="D591" s="58"/>
      <c r="E591" s="58">
        <f t="shared" si="178"/>
        <v>0</v>
      </c>
      <c r="F591" s="138">
        <f t="shared" si="179"/>
        <v>0</v>
      </c>
      <c r="G591" s="138">
        <v>0</v>
      </c>
      <c r="H591" s="138">
        <v>0</v>
      </c>
      <c r="I591" s="138">
        <v>0</v>
      </c>
      <c r="J591" s="138">
        <v>0</v>
      </c>
      <c r="K591" s="138">
        <v>0</v>
      </c>
      <c r="L591" s="138">
        <v>0</v>
      </c>
      <c r="M591" s="138">
        <v>0</v>
      </c>
      <c r="N591" s="138">
        <v>0</v>
      </c>
      <c r="O591" s="138">
        <v>0</v>
      </c>
      <c r="P591" s="138">
        <v>0</v>
      </c>
      <c r="Q591" s="138">
        <v>0</v>
      </c>
      <c r="R591" s="138">
        <v>0</v>
      </c>
      <c r="S591" s="137"/>
    </row>
    <row r="592" spans="1:34" x14ac:dyDescent="0.25">
      <c r="A592" s="59" t="s">
        <v>9</v>
      </c>
      <c r="B592" s="58">
        <v>2149.63</v>
      </c>
      <c r="C592" s="58"/>
      <c r="D592" s="58"/>
      <c r="E592" s="58">
        <f t="shared" si="178"/>
        <v>2149.63</v>
      </c>
      <c r="F592" s="138">
        <f t="shared" si="179"/>
        <v>2149.63</v>
      </c>
      <c r="G592" s="138">
        <v>0</v>
      </c>
      <c r="H592" s="138">
        <v>0</v>
      </c>
      <c r="I592" s="138">
        <v>0</v>
      </c>
      <c r="J592" s="138">
        <v>0</v>
      </c>
      <c r="K592" s="138">
        <v>2149.63</v>
      </c>
      <c r="L592" s="138">
        <v>0</v>
      </c>
      <c r="M592" s="138">
        <v>0</v>
      </c>
      <c r="N592" s="138">
        <v>0</v>
      </c>
      <c r="O592" s="138">
        <v>0</v>
      </c>
      <c r="P592" s="138">
        <v>0</v>
      </c>
      <c r="Q592" s="138">
        <v>0</v>
      </c>
      <c r="R592" s="138">
        <v>0</v>
      </c>
      <c r="S592" s="137"/>
    </row>
    <row r="593" spans="1:19" x14ac:dyDescent="0.25">
      <c r="A593" s="59" t="s">
        <v>228</v>
      </c>
      <c r="B593" s="58">
        <v>388.02</v>
      </c>
      <c r="C593" s="58"/>
      <c r="D593" s="58"/>
      <c r="E593" s="58">
        <f t="shared" si="178"/>
        <v>388.02</v>
      </c>
      <c r="F593" s="138">
        <f t="shared" si="179"/>
        <v>388.02</v>
      </c>
      <c r="G593" s="138">
        <v>0</v>
      </c>
      <c r="H593" s="138">
        <v>0</v>
      </c>
      <c r="I593" s="138">
        <v>0</v>
      </c>
      <c r="J593" s="138">
        <v>0</v>
      </c>
      <c r="K593" s="138">
        <v>388.02</v>
      </c>
      <c r="L593" s="138">
        <v>0</v>
      </c>
      <c r="M593" s="138">
        <v>0</v>
      </c>
      <c r="N593" s="138">
        <v>0</v>
      </c>
      <c r="O593" s="138">
        <v>0</v>
      </c>
      <c r="P593" s="138">
        <v>0</v>
      </c>
      <c r="Q593" s="138">
        <v>0</v>
      </c>
      <c r="R593" s="138">
        <v>0</v>
      </c>
      <c r="S593" s="137"/>
    </row>
    <row r="594" spans="1:19" x14ac:dyDescent="0.25">
      <c r="A594" s="59" t="s">
        <v>10</v>
      </c>
      <c r="B594" s="58">
        <v>1700</v>
      </c>
      <c r="C594" s="58">
        <v>0</v>
      </c>
      <c r="D594" s="58"/>
      <c r="E594" s="58">
        <f t="shared" si="178"/>
        <v>1700</v>
      </c>
      <c r="F594" s="138">
        <f t="shared" si="179"/>
        <v>1700</v>
      </c>
      <c r="G594" s="138">
        <v>0</v>
      </c>
      <c r="H594" s="138">
        <v>0</v>
      </c>
      <c r="I594" s="138">
        <v>0</v>
      </c>
      <c r="J594" s="138">
        <v>0</v>
      </c>
      <c r="K594" s="138">
        <v>0</v>
      </c>
      <c r="L594" s="138">
        <v>0</v>
      </c>
      <c r="M594" s="138">
        <v>1700</v>
      </c>
      <c r="N594" s="138">
        <v>0</v>
      </c>
      <c r="O594" s="138">
        <v>0</v>
      </c>
      <c r="P594" s="138">
        <v>0</v>
      </c>
      <c r="Q594" s="138">
        <v>0</v>
      </c>
      <c r="R594" s="138">
        <v>0</v>
      </c>
      <c r="S594" s="137"/>
    </row>
    <row r="595" spans="1:19" x14ac:dyDescent="0.25">
      <c r="A595" s="59" t="s">
        <v>11</v>
      </c>
      <c r="B595" s="58">
        <v>0</v>
      </c>
      <c r="C595" s="58"/>
      <c r="D595" s="58"/>
      <c r="E595" s="58">
        <f t="shared" si="178"/>
        <v>0</v>
      </c>
      <c r="F595" s="138">
        <f t="shared" si="179"/>
        <v>0</v>
      </c>
      <c r="G595" s="138">
        <v>0</v>
      </c>
      <c r="H595" s="138">
        <v>0</v>
      </c>
      <c r="I595" s="138">
        <v>0</v>
      </c>
      <c r="J595" s="138">
        <v>0</v>
      </c>
      <c r="K595" s="138">
        <v>0</v>
      </c>
      <c r="L595" s="138">
        <v>0</v>
      </c>
      <c r="M595" s="138">
        <v>0</v>
      </c>
      <c r="N595" s="138">
        <v>0</v>
      </c>
      <c r="O595" s="138">
        <v>0</v>
      </c>
      <c r="P595" s="138">
        <v>0</v>
      </c>
      <c r="Q595" s="138">
        <v>0</v>
      </c>
      <c r="R595" s="138">
        <v>0</v>
      </c>
      <c r="S595" s="137"/>
    </row>
    <row r="596" spans="1:19" x14ac:dyDescent="0.25">
      <c r="F596" s="138" t="s">
        <v>75</v>
      </c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7"/>
    </row>
    <row r="597" spans="1:19" ht="18.75" x14ac:dyDescent="0.4">
      <c r="A597" s="32" t="s">
        <v>111</v>
      </c>
      <c r="B597" s="40"/>
      <c r="C597" s="40"/>
      <c r="D597" s="40"/>
      <c r="E597" s="51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7"/>
    </row>
    <row r="598" spans="1:19" x14ac:dyDescent="0.25">
      <c r="A598" s="59"/>
      <c r="B598" s="58"/>
      <c r="C598" s="58"/>
      <c r="D598" s="58"/>
      <c r="E598" s="58">
        <f t="shared" ref="E598:E599" si="180">+B598+C598+D598</f>
        <v>0</v>
      </c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7"/>
    </row>
    <row r="599" spans="1:19" x14ac:dyDescent="0.25">
      <c r="A599" s="59"/>
      <c r="B599" s="58"/>
      <c r="C599" s="58"/>
      <c r="D599" s="58"/>
      <c r="E599" s="58">
        <f t="shared" si="180"/>
        <v>0</v>
      </c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7"/>
    </row>
    <row r="600" spans="1:19" ht="18.75" x14ac:dyDescent="0.4">
      <c r="A600" s="32" t="s">
        <v>112</v>
      </c>
      <c r="B600" s="40"/>
      <c r="C600" s="40"/>
      <c r="D600" s="40"/>
      <c r="E600" s="51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7"/>
    </row>
    <row r="601" spans="1:19" x14ac:dyDescent="0.25">
      <c r="A601" s="60" t="s">
        <v>124</v>
      </c>
      <c r="B601" s="58">
        <v>0</v>
      </c>
      <c r="C601" s="58"/>
      <c r="D601" s="58"/>
      <c r="E601" s="58">
        <f t="shared" ref="E601:E602" si="181">+B601+C601+D601</f>
        <v>0</v>
      </c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7"/>
    </row>
    <row r="602" spans="1:19" x14ac:dyDescent="0.25">
      <c r="A602" s="60" t="s">
        <v>75</v>
      </c>
      <c r="B602" s="61">
        <v>0</v>
      </c>
      <c r="C602" s="58"/>
      <c r="D602" s="58"/>
      <c r="E602" s="58">
        <f t="shared" si="181"/>
        <v>0</v>
      </c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7"/>
    </row>
    <row r="603" spans="1:19" ht="18.75" x14ac:dyDescent="0.4">
      <c r="A603" s="34" t="s">
        <v>113</v>
      </c>
      <c r="B603" s="40"/>
      <c r="C603" s="40"/>
      <c r="D603" s="40"/>
      <c r="E603" s="51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7"/>
    </row>
    <row r="604" spans="1:19" x14ac:dyDescent="0.25">
      <c r="A604" s="59"/>
      <c r="B604" s="58"/>
      <c r="C604" s="58"/>
      <c r="D604" s="58"/>
      <c r="E604" s="58">
        <f t="shared" ref="E604" si="182">+B604+C604+D604</f>
        <v>0</v>
      </c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7"/>
    </row>
    <row r="605" spans="1:19" x14ac:dyDescent="0.25"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7"/>
    </row>
    <row r="606" spans="1:19" x14ac:dyDescent="0.25"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7"/>
    </row>
    <row r="607" spans="1:19" ht="29.25" customHeight="1" x14ac:dyDescent="0.25">
      <c r="A607" s="187" t="s">
        <v>51</v>
      </c>
      <c r="B607" s="187"/>
      <c r="C607" s="187"/>
      <c r="D607" s="187"/>
      <c r="E607" s="187"/>
      <c r="F607" s="157"/>
      <c r="G607" s="157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7"/>
    </row>
    <row r="608" spans="1:19" x14ac:dyDescent="0.25"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7"/>
    </row>
    <row r="609" spans="1:33" ht="30" x14ac:dyDescent="0.25">
      <c r="A609" s="33" t="s">
        <v>105</v>
      </c>
      <c r="B609" s="38" t="s">
        <v>106</v>
      </c>
      <c r="C609" s="38" t="s">
        <v>107</v>
      </c>
      <c r="D609" s="38" t="s">
        <v>108</v>
      </c>
      <c r="E609" s="38" t="s">
        <v>109</v>
      </c>
      <c r="F609" s="138"/>
      <c r="G609" s="38" t="s">
        <v>192</v>
      </c>
      <c r="H609" s="38" t="s">
        <v>193</v>
      </c>
      <c r="I609" s="38" t="s">
        <v>194</v>
      </c>
      <c r="J609" s="38" t="s">
        <v>195</v>
      </c>
      <c r="K609" s="38" t="s">
        <v>196</v>
      </c>
      <c r="L609" s="38" t="s">
        <v>197</v>
      </c>
      <c r="M609" s="38" t="s">
        <v>198</v>
      </c>
      <c r="N609" s="38" t="s">
        <v>199</v>
      </c>
      <c r="O609" s="38" t="s">
        <v>200</v>
      </c>
      <c r="P609" s="38" t="s">
        <v>201</v>
      </c>
      <c r="Q609" s="38" t="s">
        <v>202</v>
      </c>
      <c r="R609" s="38" t="s">
        <v>203</v>
      </c>
      <c r="S609" s="137"/>
    </row>
    <row r="610" spans="1:33" ht="18.75" x14ac:dyDescent="0.4">
      <c r="A610" s="32" t="s">
        <v>110</v>
      </c>
      <c r="B610" s="37">
        <f>SUM(B611:B628)</f>
        <v>60417</v>
      </c>
      <c r="C610" s="37">
        <f t="shared" ref="C610:E610" si="183">SUM(C611:C628)</f>
        <v>0</v>
      </c>
      <c r="D610" s="37">
        <f t="shared" si="183"/>
        <v>0</v>
      </c>
      <c r="E610" s="37">
        <f t="shared" si="183"/>
        <v>60417</v>
      </c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7"/>
    </row>
    <row r="611" spans="1:33" s="3" customFormat="1" ht="11.25" customHeight="1" x14ac:dyDescent="0.15">
      <c r="A611" s="59" t="s">
        <v>1</v>
      </c>
      <c r="B611" s="58">
        <v>5300</v>
      </c>
      <c r="C611" s="58"/>
      <c r="D611" s="58"/>
      <c r="E611" s="58">
        <f t="shared" ref="E611:E619" si="184">+B611+C611+D611</f>
        <v>5300</v>
      </c>
      <c r="F611" s="138">
        <f t="shared" ref="F611:F619" si="185">SUM(G611:R611)</f>
        <v>5300</v>
      </c>
      <c r="G611" s="138">
        <v>0</v>
      </c>
      <c r="H611" s="138">
        <v>0</v>
      </c>
      <c r="I611" s="138">
        <v>0</v>
      </c>
      <c r="J611" s="138">
        <v>0</v>
      </c>
      <c r="K611" s="138">
        <v>0</v>
      </c>
      <c r="L611" s="138">
        <v>0</v>
      </c>
      <c r="M611" s="138">
        <v>0</v>
      </c>
      <c r="N611" s="138">
        <v>0</v>
      </c>
      <c r="O611" s="138">
        <v>0</v>
      </c>
      <c r="P611" s="138">
        <v>2000</v>
      </c>
      <c r="Q611" s="138">
        <v>3300</v>
      </c>
      <c r="R611" s="138">
        <v>0</v>
      </c>
      <c r="S611" s="139"/>
      <c r="U611" s="4"/>
      <c r="W611" s="4"/>
      <c r="Y611" s="4"/>
      <c r="AA611" s="4"/>
      <c r="AC611" s="4"/>
      <c r="AE611" s="4"/>
      <c r="AG611" s="4"/>
    </row>
    <row r="612" spans="1:33" x14ac:dyDescent="0.25">
      <c r="A612" s="59" t="s">
        <v>4</v>
      </c>
      <c r="B612" s="58">
        <v>26040</v>
      </c>
      <c r="C612" s="58"/>
      <c r="D612" s="58"/>
      <c r="E612" s="58">
        <f t="shared" si="184"/>
        <v>26040</v>
      </c>
      <c r="F612" s="138">
        <f t="shared" si="185"/>
        <v>26040</v>
      </c>
      <c r="G612" s="138">
        <v>0</v>
      </c>
      <c r="H612" s="138">
        <v>0</v>
      </c>
      <c r="I612" s="138">
        <v>0</v>
      </c>
      <c r="J612" s="138">
        <v>0</v>
      </c>
      <c r="K612" s="138">
        <v>0</v>
      </c>
      <c r="L612" s="138">
        <v>0</v>
      </c>
      <c r="M612" s="138">
        <v>0</v>
      </c>
      <c r="N612" s="138">
        <v>0</v>
      </c>
      <c r="O612" s="138">
        <v>0</v>
      </c>
      <c r="P612" s="138">
        <v>12500</v>
      </c>
      <c r="Q612" s="138">
        <v>11980</v>
      </c>
      <c r="R612" s="138">
        <v>1560</v>
      </c>
      <c r="S612" s="138" t="s">
        <v>75</v>
      </c>
    </row>
    <row r="613" spans="1:33" x14ac:dyDescent="0.25">
      <c r="A613" s="59" t="s">
        <v>39</v>
      </c>
      <c r="B613" s="58">
        <v>550</v>
      </c>
      <c r="C613" s="58">
        <v>0</v>
      </c>
      <c r="D613" s="58"/>
      <c r="E613" s="58">
        <f t="shared" si="184"/>
        <v>550</v>
      </c>
      <c r="F613" s="138">
        <f t="shared" si="185"/>
        <v>550</v>
      </c>
      <c r="G613" s="138">
        <v>0</v>
      </c>
      <c r="H613" s="138">
        <v>0</v>
      </c>
      <c r="I613" s="138">
        <v>0</v>
      </c>
      <c r="J613" s="138">
        <v>0</v>
      </c>
      <c r="K613" s="138">
        <v>0</v>
      </c>
      <c r="L613" s="138">
        <v>0</v>
      </c>
      <c r="M613" s="138">
        <v>0</v>
      </c>
      <c r="N613" s="138">
        <v>0</v>
      </c>
      <c r="O613" s="138">
        <v>0</v>
      </c>
      <c r="P613" s="138">
        <v>0</v>
      </c>
      <c r="Q613" s="138">
        <v>550</v>
      </c>
      <c r="R613" s="138">
        <v>0</v>
      </c>
      <c r="S613" s="137"/>
    </row>
    <row r="614" spans="1:33" x14ac:dyDescent="0.25">
      <c r="A614" s="59" t="s">
        <v>18</v>
      </c>
      <c r="B614" s="58">
        <v>1000</v>
      </c>
      <c r="C614" s="58"/>
      <c r="D614" s="58"/>
      <c r="E614" s="58">
        <f t="shared" si="184"/>
        <v>1000</v>
      </c>
      <c r="F614" s="138">
        <f t="shared" si="185"/>
        <v>1000</v>
      </c>
      <c r="G614" s="138">
        <v>0</v>
      </c>
      <c r="H614" s="138">
        <v>0</v>
      </c>
      <c r="I614" s="138">
        <v>0</v>
      </c>
      <c r="J614" s="138">
        <v>0</v>
      </c>
      <c r="K614" s="138">
        <v>0</v>
      </c>
      <c r="L614" s="138">
        <v>0</v>
      </c>
      <c r="M614" s="138">
        <v>0</v>
      </c>
      <c r="N614" s="138">
        <v>500</v>
      </c>
      <c r="O614" s="138">
        <v>0</v>
      </c>
      <c r="P614" s="138">
        <v>0</v>
      </c>
      <c r="Q614" s="138">
        <v>500</v>
      </c>
      <c r="R614" s="138">
        <v>0</v>
      </c>
      <c r="S614" s="137"/>
    </row>
    <row r="615" spans="1:33" x14ac:dyDescent="0.25">
      <c r="A615" s="59" t="s">
        <v>19</v>
      </c>
      <c r="B615" s="58">
        <v>600</v>
      </c>
      <c r="C615" s="58"/>
      <c r="D615" s="58"/>
      <c r="E615" s="58">
        <f t="shared" si="184"/>
        <v>600</v>
      </c>
      <c r="F615" s="138">
        <f t="shared" si="185"/>
        <v>600</v>
      </c>
      <c r="G615" s="138">
        <v>0</v>
      </c>
      <c r="H615" s="138">
        <v>0</v>
      </c>
      <c r="I615" s="138">
        <v>0</v>
      </c>
      <c r="J615" s="138">
        <v>0</v>
      </c>
      <c r="K615" s="138">
        <v>0</v>
      </c>
      <c r="L615" s="138">
        <v>0</v>
      </c>
      <c r="M615" s="138">
        <v>0</v>
      </c>
      <c r="N615" s="138">
        <v>0</v>
      </c>
      <c r="O615" s="138">
        <v>0</v>
      </c>
      <c r="P615" s="138">
        <v>0</v>
      </c>
      <c r="Q615" s="138">
        <v>600</v>
      </c>
      <c r="R615" s="138">
        <v>0</v>
      </c>
      <c r="S615" s="137"/>
    </row>
    <row r="616" spans="1:33" x14ac:dyDescent="0.25">
      <c r="A616" s="59" t="s">
        <v>10</v>
      </c>
      <c r="B616" s="58">
        <v>3000</v>
      </c>
      <c r="C616" s="58">
        <v>0</v>
      </c>
      <c r="D616" s="58"/>
      <c r="E616" s="58">
        <f t="shared" si="184"/>
        <v>3000</v>
      </c>
      <c r="F616" s="138">
        <f t="shared" si="185"/>
        <v>3000</v>
      </c>
      <c r="G616" s="138">
        <v>0</v>
      </c>
      <c r="H616" s="138">
        <v>0</v>
      </c>
      <c r="I616" s="138">
        <v>0</v>
      </c>
      <c r="J616" s="138">
        <v>0</v>
      </c>
      <c r="K616" s="138">
        <v>0</v>
      </c>
      <c r="L616" s="138">
        <v>2500</v>
      </c>
      <c r="M616" s="138">
        <v>0</v>
      </c>
      <c r="N616" s="138">
        <v>0</v>
      </c>
      <c r="O616" s="138">
        <v>0</v>
      </c>
      <c r="P616" s="138">
        <v>500</v>
      </c>
      <c r="Q616" s="138">
        <v>0</v>
      </c>
      <c r="R616" s="138">
        <v>0</v>
      </c>
      <c r="S616" s="137"/>
    </row>
    <row r="617" spans="1:33" x14ac:dyDescent="0.25">
      <c r="A617" s="59" t="s">
        <v>11</v>
      </c>
      <c r="B617" s="58">
        <v>3800</v>
      </c>
      <c r="C617" s="58"/>
      <c r="D617" s="58"/>
      <c r="E617" s="58">
        <f t="shared" si="184"/>
        <v>3800</v>
      </c>
      <c r="F617" s="138">
        <f t="shared" si="185"/>
        <v>3800</v>
      </c>
      <c r="G617" s="138">
        <v>0</v>
      </c>
      <c r="H617" s="138">
        <v>0</v>
      </c>
      <c r="I617" s="138">
        <v>0</v>
      </c>
      <c r="J617" s="138">
        <v>0</v>
      </c>
      <c r="K617" s="138">
        <v>0</v>
      </c>
      <c r="L617" s="138">
        <v>0</v>
      </c>
      <c r="M617" s="138">
        <v>0</v>
      </c>
      <c r="N617" s="138">
        <v>0</v>
      </c>
      <c r="O617" s="138">
        <v>0</v>
      </c>
      <c r="P617" s="138">
        <v>2400</v>
      </c>
      <c r="Q617" s="138">
        <v>1400</v>
      </c>
      <c r="R617" s="138">
        <v>0</v>
      </c>
      <c r="S617" s="137"/>
    </row>
    <row r="618" spans="1:33" x14ac:dyDescent="0.25">
      <c r="A618" s="59" t="s">
        <v>40</v>
      </c>
      <c r="B618" s="58">
        <v>17500</v>
      </c>
      <c r="C618" s="58"/>
      <c r="D618" s="58"/>
      <c r="E618" s="58">
        <f t="shared" si="184"/>
        <v>17500</v>
      </c>
      <c r="F618" s="138">
        <f t="shared" si="185"/>
        <v>17500</v>
      </c>
      <c r="G618" s="138">
        <v>0</v>
      </c>
      <c r="H618" s="138">
        <v>0</v>
      </c>
      <c r="I618" s="138">
        <v>0</v>
      </c>
      <c r="J618" s="138">
        <v>0</v>
      </c>
      <c r="K618" s="138">
        <v>0</v>
      </c>
      <c r="L618" s="138">
        <v>4900</v>
      </c>
      <c r="M618" s="138">
        <v>0</v>
      </c>
      <c r="N618" s="138">
        <v>0</v>
      </c>
      <c r="O618" s="138">
        <v>5900</v>
      </c>
      <c r="P618" s="138">
        <v>6700</v>
      </c>
      <c r="Q618" s="138">
        <v>0</v>
      </c>
      <c r="R618" s="138">
        <v>0</v>
      </c>
      <c r="S618" s="137"/>
    </row>
    <row r="619" spans="1:33" x14ac:dyDescent="0.25">
      <c r="A619" s="59" t="s">
        <v>13</v>
      </c>
      <c r="B619" s="58">
        <v>2627</v>
      </c>
      <c r="C619" s="58"/>
      <c r="D619" s="58"/>
      <c r="E619" s="58">
        <f t="shared" si="184"/>
        <v>2627</v>
      </c>
      <c r="F619" s="138">
        <f t="shared" si="185"/>
        <v>2627</v>
      </c>
      <c r="G619" s="138">
        <v>0</v>
      </c>
      <c r="H619" s="138">
        <v>0</v>
      </c>
      <c r="I619" s="138">
        <v>0</v>
      </c>
      <c r="J619" s="138">
        <v>0</v>
      </c>
      <c r="K619" s="138">
        <v>0</v>
      </c>
      <c r="L619" s="138">
        <v>0</v>
      </c>
      <c r="M619" s="138">
        <v>0</v>
      </c>
      <c r="N619" s="138">
        <v>0</v>
      </c>
      <c r="O619" s="138">
        <v>0</v>
      </c>
      <c r="P619" s="138">
        <v>0</v>
      </c>
      <c r="Q619" s="138">
        <v>2627</v>
      </c>
      <c r="R619" s="138">
        <v>0</v>
      </c>
      <c r="S619" s="137"/>
    </row>
    <row r="620" spans="1:33" x14ac:dyDescent="0.25">
      <c r="A620" s="9"/>
      <c r="B620" s="40"/>
      <c r="C620" s="40"/>
      <c r="D620" s="40"/>
      <c r="E620" s="51"/>
      <c r="F620" s="138" t="s">
        <v>75</v>
      </c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7"/>
    </row>
    <row r="621" spans="1:33" ht="18.75" x14ac:dyDescent="0.4">
      <c r="A621" s="32" t="s">
        <v>111</v>
      </c>
      <c r="B621" s="40"/>
      <c r="C621" s="40"/>
      <c r="D621" s="40"/>
      <c r="E621" s="51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7"/>
    </row>
    <row r="622" spans="1:33" x14ac:dyDescent="0.25">
      <c r="A622" s="59"/>
      <c r="B622" s="58"/>
      <c r="C622" s="58"/>
      <c r="D622" s="58"/>
      <c r="E622" s="58">
        <f t="shared" ref="E622:E623" si="186">+B622+C622+D622</f>
        <v>0</v>
      </c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7"/>
    </row>
    <row r="623" spans="1:33" x14ac:dyDescent="0.25">
      <c r="A623" s="59"/>
      <c r="B623" s="58"/>
      <c r="C623" s="58"/>
      <c r="D623" s="58"/>
      <c r="E623" s="58">
        <f t="shared" si="186"/>
        <v>0</v>
      </c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7"/>
    </row>
    <row r="624" spans="1:33" ht="18.75" x14ac:dyDescent="0.4">
      <c r="A624" s="32" t="s">
        <v>112</v>
      </c>
      <c r="B624" s="40"/>
      <c r="C624" s="40"/>
      <c r="D624" s="40"/>
      <c r="E624" s="51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7"/>
    </row>
    <row r="625" spans="1:34" x14ac:dyDescent="0.25">
      <c r="A625" s="60" t="s">
        <v>124</v>
      </c>
      <c r="B625" s="58">
        <v>0</v>
      </c>
      <c r="C625" s="58"/>
      <c r="D625" s="58"/>
      <c r="E625" s="58">
        <f t="shared" ref="E625:E626" si="187">+B625+C625+D625</f>
        <v>0</v>
      </c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7"/>
    </row>
    <row r="626" spans="1:34" x14ac:dyDescent="0.25">
      <c r="A626" s="60" t="s">
        <v>75</v>
      </c>
      <c r="B626" s="61">
        <v>0</v>
      </c>
      <c r="C626" s="58"/>
      <c r="D626" s="58"/>
      <c r="E626" s="58">
        <f t="shared" si="187"/>
        <v>0</v>
      </c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7"/>
    </row>
    <row r="627" spans="1:34" ht="18.75" x14ac:dyDescent="0.4">
      <c r="A627" s="34" t="s">
        <v>113</v>
      </c>
      <c r="B627" s="40"/>
      <c r="C627" s="40"/>
      <c r="D627" s="40"/>
      <c r="E627" s="51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7"/>
    </row>
    <row r="628" spans="1:34" x14ac:dyDescent="0.25">
      <c r="A628" s="59"/>
      <c r="B628" s="58"/>
      <c r="C628" s="58"/>
      <c r="D628" s="58"/>
      <c r="E628" s="58">
        <f t="shared" ref="E628" si="188">+B628+C628+D628</f>
        <v>0</v>
      </c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7"/>
    </row>
    <row r="629" spans="1:34" x14ac:dyDescent="0.25">
      <c r="A629" s="9"/>
      <c r="B629" s="40"/>
      <c r="C629" s="40"/>
      <c r="D629" s="40"/>
      <c r="E629" s="51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7"/>
    </row>
    <row r="630" spans="1:34" x14ac:dyDescent="0.25">
      <c r="A630" s="9"/>
      <c r="B630" s="40"/>
      <c r="C630" s="40"/>
      <c r="D630" s="40"/>
      <c r="E630" s="51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7"/>
    </row>
    <row r="631" spans="1:34" x14ac:dyDescent="0.25">
      <c r="A631" s="9"/>
      <c r="B631" s="40"/>
      <c r="C631" s="40"/>
      <c r="D631" s="40"/>
      <c r="E631" s="51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7"/>
    </row>
    <row r="632" spans="1:34" ht="18.75" x14ac:dyDescent="0.4">
      <c r="A632" s="169" t="s">
        <v>52</v>
      </c>
      <c r="B632" s="169"/>
      <c r="C632" s="169"/>
      <c r="D632" s="169"/>
      <c r="E632" s="169"/>
      <c r="F632" s="150"/>
      <c r="G632" s="150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7"/>
    </row>
    <row r="633" spans="1:34" x14ac:dyDescent="0.25">
      <c r="A633" s="23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7"/>
    </row>
    <row r="634" spans="1:34" ht="30" x14ac:dyDescent="0.25">
      <c r="A634" s="33" t="s">
        <v>105</v>
      </c>
      <c r="B634" s="38" t="s">
        <v>106</v>
      </c>
      <c r="C634" s="38" t="s">
        <v>107</v>
      </c>
      <c r="D634" s="38" t="s">
        <v>108</v>
      </c>
      <c r="E634" s="38" t="s">
        <v>109</v>
      </c>
      <c r="F634" s="138"/>
      <c r="G634" s="38" t="s">
        <v>192</v>
      </c>
      <c r="H634" s="38" t="s">
        <v>193</v>
      </c>
      <c r="I634" s="38" t="s">
        <v>194</v>
      </c>
      <c r="J634" s="38" t="s">
        <v>195</v>
      </c>
      <c r="K634" s="38" t="s">
        <v>196</v>
      </c>
      <c r="L634" s="38" t="s">
        <v>197</v>
      </c>
      <c r="M634" s="38" t="s">
        <v>198</v>
      </c>
      <c r="N634" s="38" t="s">
        <v>199</v>
      </c>
      <c r="O634" s="38" t="s">
        <v>200</v>
      </c>
      <c r="P634" s="38" t="s">
        <v>201</v>
      </c>
      <c r="Q634" s="38" t="s">
        <v>202</v>
      </c>
      <c r="R634" s="38" t="s">
        <v>203</v>
      </c>
      <c r="S634" s="137"/>
    </row>
    <row r="635" spans="1:34" ht="18.75" x14ac:dyDescent="0.4">
      <c r="A635" s="32" t="s">
        <v>110</v>
      </c>
      <c r="B635" s="37">
        <f>SUM(B636:B676)</f>
        <v>3223973.6900000004</v>
      </c>
      <c r="C635" s="37">
        <f t="shared" ref="C635:E635" si="189">SUM(C636:C676)</f>
        <v>39998</v>
      </c>
      <c r="D635" s="37">
        <f t="shared" si="189"/>
        <v>0</v>
      </c>
      <c r="E635" s="37">
        <f t="shared" si="189"/>
        <v>3263971.6900000004</v>
      </c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7"/>
    </row>
    <row r="636" spans="1:34" s="3" customFormat="1" ht="11.25" customHeight="1" x14ac:dyDescent="0.15">
      <c r="A636" s="59" t="s">
        <v>1</v>
      </c>
      <c r="B636" s="52">
        <v>135916.82999999999</v>
      </c>
      <c r="C636" s="58"/>
      <c r="D636" s="58"/>
      <c r="E636" s="58">
        <f t="shared" ref="E636:E667" si="190">+B636+C636+D636</f>
        <v>135916.82999999999</v>
      </c>
      <c r="F636" s="138">
        <f t="shared" ref="F636:F667" si="191">SUM(G636:R636)</f>
        <v>135916.82999999999</v>
      </c>
      <c r="G636" s="138">
        <v>0</v>
      </c>
      <c r="H636" s="138">
        <v>840.4</v>
      </c>
      <c r="I636" s="138">
        <v>1925.08</v>
      </c>
      <c r="J636" s="138">
        <v>0</v>
      </c>
      <c r="K636" s="138">
        <v>15008</v>
      </c>
      <c r="L636" s="138">
        <v>47615</v>
      </c>
      <c r="M636" s="138">
        <v>56865.73</v>
      </c>
      <c r="N636" s="138">
        <v>10987.62</v>
      </c>
      <c r="O636" s="138">
        <v>2675</v>
      </c>
      <c r="P636" s="138">
        <v>0</v>
      </c>
      <c r="Q636" s="138">
        <v>0</v>
      </c>
      <c r="R636" s="138">
        <v>0</v>
      </c>
      <c r="S636" s="139"/>
      <c r="U636" s="4"/>
      <c r="W636" s="4"/>
      <c r="Y636" s="4"/>
      <c r="AA636" s="4"/>
      <c r="AC636" s="4"/>
      <c r="AE636" s="4"/>
      <c r="AG636" s="4"/>
    </row>
    <row r="637" spans="1:34" s="3" customFormat="1" ht="11.25" customHeight="1" x14ac:dyDescent="0.15">
      <c r="A637" s="59" t="s">
        <v>2</v>
      </c>
      <c r="B637" s="52">
        <v>14392.52</v>
      </c>
      <c r="C637" s="52"/>
      <c r="D637" s="58"/>
      <c r="E637" s="58">
        <f t="shared" si="190"/>
        <v>14392.52</v>
      </c>
      <c r="F637" s="138">
        <f t="shared" si="191"/>
        <v>14392.52</v>
      </c>
      <c r="G637" s="138">
        <v>0</v>
      </c>
      <c r="H637" s="138">
        <v>0</v>
      </c>
      <c r="I637" s="146">
        <v>0</v>
      </c>
      <c r="J637" s="146">
        <v>0</v>
      </c>
      <c r="K637" s="146">
        <v>492.52</v>
      </c>
      <c r="L637" s="146">
        <v>0</v>
      </c>
      <c r="M637" s="146">
        <v>0</v>
      </c>
      <c r="N637" s="146">
        <v>0</v>
      </c>
      <c r="O637" s="146">
        <v>0</v>
      </c>
      <c r="P637" s="146">
        <v>13900</v>
      </c>
      <c r="Q637" s="146">
        <v>0</v>
      </c>
      <c r="R637" s="146">
        <v>0</v>
      </c>
      <c r="S637" s="140"/>
      <c r="T637" s="7"/>
      <c r="U637" s="8"/>
      <c r="V637" s="7"/>
      <c r="W637" s="8"/>
      <c r="X637" s="7"/>
      <c r="Y637" s="8"/>
      <c r="Z637" s="7"/>
      <c r="AA637" s="8"/>
      <c r="AB637" s="7"/>
      <c r="AC637" s="8"/>
      <c r="AD637" s="7"/>
      <c r="AE637" s="8"/>
      <c r="AF637" s="7"/>
      <c r="AG637" s="8"/>
      <c r="AH637" s="7"/>
    </row>
    <row r="638" spans="1:34" s="3" customFormat="1" ht="11.25" customHeight="1" x14ac:dyDescent="0.15">
      <c r="A638" s="59" t="s">
        <v>53</v>
      </c>
      <c r="B638" s="67">
        <v>2734.42</v>
      </c>
      <c r="C638" s="58"/>
      <c r="D638" s="58"/>
      <c r="E638" s="58">
        <f>+B638+C638+D638</f>
        <v>2734.42</v>
      </c>
      <c r="F638" s="138">
        <f t="shared" si="191"/>
        <v>2734.42</v>
      </c>
      <c r="G638" s="138">
        <v>0</v>
      </c>
      <c r="H638" s="138">
        <v>0</v>
      </c>
      <c r="I638" s="146">
        <v>299</v>
      </c>
      <c r="J638" s="146">
        <v>0</v>
      </c>
      <c r="K638" s="146">
        <v>0</v>
      </c>
      <c r="L638" s="146">
        <v>0</v>
      </c>
      <c r="M638" s="146">
        <v>0</v>
      </c>
      <c r="N638" s="146">
        <v>0</v>
      </c>
      <c r="O638" s="146">
        <v>2435.42</v>
      </c>
      <c r="P638" s="146">
        <v>0</v>
      </c>
      <c r="Q638" s="146">
        <v>0</v>
      </c>
      <c r="R638" s="146">
        <v>0</v>
      </c>
      <c r="S638" s="140"/>
      <c r="T638" s="7"/>
      <c r="U638" s="8"/>
      <c r="V638" s="7"/>
      <c r="W638" s="8"/>
      <c r="X638" s="7"/>
      <c r="Y638" s="8"/>
      <c r="Z638" s="7"/>
      <c r="AA638" s="8"/>
      <c r="AB638" s="7"/>
      <c r="AC638" s="8"/>
      <c r="AD638" s="7"/>
      <c r="AE638" s="8"/>
      <c r="AF638" s="7"/>
      <c r="AG638" s="8"/>
      <c r="AH638" s="7"/>
    </row>
    <row r="639" spans="1:34" s="3" customFormat="1" ht="11.25" customHeight="1" x14ac:dyDescent="0.15">
      <c r="A639" s="59" t="s">
        <v>3</v>
      </c>
      <c r="B639" s="52">
        <v>228928</v>
      </c>
      <c r="C639" s="52"/>
      <c r="D639" s="58"/>
      <c r="E639" s="58">
        <f>+B639+C639+D639</f>
        <v>228928</v>
      </c>
      <c r="F639" s="138">
        <f t="shared" si="191"/>
        <v>228928</v>
      </c>
      <c r="G639" s="138">
        <v>4913.76</v>
      </c>
      <c r="H639" s="138">
        <v>1252</v>
      </c>
      <c r="I639" s="146">
        <v>544.51</v>
      </c>
      <c r="J639" s="146">
        <v>13898.6</v>
      </c>
      <c r="K639" s="146">
        <v>9279</v>
      </c>
      <c r="L639" s="146">
        <v>6150</v>
      </c>
      <c r="M639" s="146">
        <v>28794.16</v>
      </c>
      <c r="N639" s="146">
        <v>27409.22</v>
      </c>
      <c r="O639" s="146">
        <v>8792.5</v>
      </c>
      <c r="P639" s="146">
        <v>95000</v>
      </c>
      <c r="Q639" s="146">
        <v>30000</v>
      </c>
      <c r="R639" s="146">
        <v>2894.25</v>
      </c>
      <c r="S639" s="146"/>
      <c r="T639" s="7"/>
      <c r="U639" s="8"/>
      <c r="V639" s="7"/>
      <c r="W639" s="8"/>
      <c r="X639" s="7"/>
      <c r="Y639" s="8"/>
      <c r="Z639" s="7"/>
      <c r="AA639" s="8"/>
      <c r="AB639" s="7"/>
      <c r="AC639" s="8"/>
      <c r="AD639" s="7"/>
      <c r="AE639" s="8"/>
      <c r="AF639" s="7"/>
      <c r="AG639" s="8"/>
      <c r="AH639" s="7"/>
    </row>
    <row r="640" spans="1:34" x14ac:dyDescent="0.25">
      <c r="A640" s="59" t="s">
        <v>54</v>
      </c>
      <c r="B640" s="67">
        <v>71050</v>
      </c>
      <c r="C640" s="58"/>
      <c r="D640" s="58"/>
      <c r="E640" s="58">
        <f t="shared" si="190"/>
        <v>71050</v>
      </c>
      <c r="F640" s="138">
        <f t="shared" si="191"/>
        <v>71050</v>
      </c>
      <c r="G640" s="138">
        <v>0</v>
      </c>
      <c r="H640" s="138">
        <v>0</v>
      </c>
      <c r="I640" s="138">
        <v>0</v>
      </c>
      <c r="J640" s="138">
        <v>0</v>
      </c>
      <c r="K640" s="138">
        <v>1960</v>
      </c>
      <c r="L640" s="138">
        <v>0</v>
      </c>
      <c r="M640" s="138">
        <v>0</v>
      </c>
      <c r="N640" s="138">
        <v>54895.85</v>
      </c>
      <c r="O640" s="138">
        <v>0</v>
      </c>
      <c r="P640" s="138">
        <v>0</v>
      </c>
      <c r="Q640" s="138">
        <v>14194.15</v>
      </c>
      <c r="R640" s="138">
        <v>0</v>
      </c>
      <c r="S640" s="146"/>
    </row>
    <row r="641" spans="1:19" x14ac:dyDescent="0.25">
      <c r="A641" s="59" t="s">
        <v>233</v>
      </c>
      <c r="B641" s="67">
        <v>7363.13</v>
      </c>
      <c r="C641" s="58"/>
      <c r="D641" s="58"/>
      <c r="E641" s="58">
        <f t="shared" ref="E641" si="192">+B641+C641+D641</f>
        <v>7363.13</v>
      </c>
      <c r="F641" s="138">
        <f t="shared" ref="F641" si="193">SUM(G641:R641)</f>
        <v>7363.1299999999992</v>
      </c>
      <c r="G641" s="138">
        <v>0</v>
      </c>
      <c r="H641" s="138">
        <v>0</v>
      </c>
      <c r="I641" s="138">
        <v>585.20000000000005</v>
      </c>
      <c r="J641" s="138">
        <v>0</v>
      </c>
      <c r="K641" s="138">
        <v>831.64</v>
      </c>
      <c r="L641" s="138">
        <v>0</v>
      </c>
      <c r="M641" s="138">
        <v>4685.6499999999996</v>
      </c>
      <c r="N641" s="138">
        <v>799.7</v>
      </c>
      <c r="O641" s="138">
        <v>460.94</v>
      </c>
      <c r="P641" s="138">
        <v>0</v>
      </c>
      <c r="Q641" s="138">
        <v>0</v>
      </c>
      <c r="R641" s="138">
        <v>0</v>
      </c>
      <c r="S641" s="146"/>
    </row>
    <row r="642" spans="1:19" x14ac:dyDescent="0.25">
      <c r="A642" s="59" t="s">
        <v>18</v>
      </c>
      <c r="B642" s="67">
        <v>1100800</v>
      </c>
      <c r="C642" s="58"/>
      <c r="D642" s="58"/>
      <c r="E642" s="58">
        <f t="shared" si="190"/>
        <v>1100800</v>
      </c>
      <c r="F642" s="138">
        <f t="shared" si="191"/>
        <v>1100800</v>
      </c>
      <c r="G642" s="138">
        <v>1977.75</v>
      </c>
      <c r="H642" s="138">
        <v>4045</v>
      </c>
      <c r="I642" s="138">
        <v>5420.72</v>
      </c>
      <c r="J642" s="138">
        <v>3772.3</v>
      </c>
      <c r="K642" s="138">
        <v>171969.5</v>
      </c>
      <c r="L642" s="138">
        <f>1372487.92-158411.29-354394.97-141211.59</f>
        <v>718470.07</v>
      </c>
      <c r="M642" s="138">
        <v>15268.2</v>
      </c>
      <c r="N642" s="138">
        <v>2482</v>
      </c>
      <c r="O642" s="138">
        <v>5338</v>
      </c>
      <c r="P642" s="138">
        <v>79800</v>
      </c>
      <c r="Q642" s="138">
        <v>50100</v>
      </c>
      <c r="R642" s="138">
        <v>42156.46</v>
      </c>
      <c r="S642" s="146"/>
    </row>
    <row r="643" spans="1:19" x14ac:dyDescent="0.25">
      <c r="A643" s="59" t="s">
        <v>224</v>
      </c>
      <c r="B643" s="67">
        <v>31488</v>
      </c>
      <c r="C643" s="58"/>
      <c r="D643" s="58"/>
      <c r="E643" s="58">
        <f t="shared" ref="E643" si="194">+B643+C643+D643</f>
        <v>31488</v>
      </c>
      <c r="F643" s="138">
        <f t="shared" ref="F643" si="195">SUM(G643:R643)</f>
        <v>31488</v>
      </c>
      <c r="G643" s="138">
        <v>0</v>
      </c>
      <c r="H643" s="138">
        <v>0</v>
      </c>
      <c r="I643" s="138">
        <v>0</v>
      </c>
      <c r="J643" s="138">
        <v>0</v>
      </c>
      <c r="K643" s="138">
        <v>9442.5</v>
      </c>
      <c r="L643" s="138">
        <v>2538</v>
      </c>
      <c r="M643" s="138">
        <v>9852.5</v>
      </c>
      <c r="N643" s="138">
        <v>2000</v>
      </c>
      <c r="O643" s="138">
        <v>7655</v>
      </c>
      <c r="P643" s="138">
        <v>0</v>
      </c>
      <c r="Q643" s="138">
        <v>0</v>
      </c>
      <c r="R643" s="138">
        <v>0</v>
      </c>
      <c r="S643" s="146"/>
    </row>
    <row r="644" spans="1:19" x14ac:dyDescent="0.25">
      <c r="A644" s="59" t="s">
        <v>55</v>
      </c>
      <c r="B644" s="67">
        <v>27426.2</v>
      </c>
      <c r="C644" s="58"/>
      <c r="D644" s="58"/>
      <c r="E644" s="58">
        <f t="shared" si="190"/>
        <v>27426.2</v>
      </c>
      <c r="F644" s="138">
        <f t="shared" si="191"/>
        <v>27426.2</v>
      </c>
      <c r="G644" s="138">
        <v>0</v>
      </c>
      <c r="H644" s="138">
        <v>0</v>
      </c>
      <c r="I644" s="138">
        <v>2234</v>
      </c>
      <c r="J644" s="138">
        <v>20926.2</v>
      </c>
      <c r="K644" s="138">
        <v>4266</v>
      </c>
      <c r="L644" s="138">
        <v>0</v>
      </c>
      <c r="M644" s="138">
        <v>0</v>
      </c>
      <c r="N644" s="138">
        <v>0</v>
      </c>
      <c r="O644" s="138">
        <v>0</v>
      </c>
      <c r="P644" s="138">
        <v>0</v>
      </c>
      <c r="Q644" s="138">
        <v>0</v>
      </c>
      <c r="R644" s="138">
        <v>0</v>
      </c>
      <c r="S644" s="146"/>
    </row>
    <row r="645" spans="1:19" x14ac:dyDescent="0.25">
      <c r="A645" s="59" t="s">
        <v>234</v>
      </c>
      <c r="B645" s="67">
        <v>210</v>
      </c>
      <c r="C645" s="58"/>
      <c r="D645" s="58"/>
      <c r="E645" s="58">
        <f t="shared" ref="E645" si="196">+B645+C645+D645</f>
        <v>210</v>
      </c>
      <c r="F645" s="138">
        <f t="shared" ref="F645" si="197">SUM(G645:R645)</f>
        <v>210</v>
      </c>
      <c r="G645" s="138">
        <v>0</v>
      </c>
      <c r="H645" s="138">
        <v>0</v>
      </c>
      <c r="I645" s="138">
        <v>210</v>
      </c>
      <c r="J645" s="138">
        <v>0</v>
      </c>
      <c r="K645" s="138">
        <v>0</v>
      </c>
      <c r="L645" s="138">
        <v>0</v>
      </c>
      <c r="M645" s="138">
        <v>0</v>
      </c>
      <c r="N645" s="138">
        <v>0</v>
      </c>
      <c r="O645" s="138">
        <v>0</v>
      </c>
      <c r="P645" s="138">
        <v>0</v>
      </c>
      <c r="Q645" s="138">
        <v>0</v>
      </c>
      <c r="R645" s="138">
        <v>0</v>
      </c>
      <c r="S645" s="146"/>
    </row>
    <row r="646" spans="1:19" x14ac:dyDescent="0.25">
      <c r="A646" s="59" t="s">
        <v>7</v>
      </c>
      <c r="B646" s="67">
        <v>7350</v>
      </c>
      <c r="C646" s="58"/>
      <c r="D646" s="58"/>
      <c r="E646" s="58">
        <f t="shared" si="190"/>
        <v>7350</v>
      </c>
      <c r="F646" s="138">
        <f t="shared" si="191"/>
        <v>7350</v>
      </c>
      <c r="G646" s="138">
        <v>0</v>
      </c>
      <c r="H646" s="138">
        <v>0</v>
      </c>
      <c r="I646" s="138">
        <v>481</v>
      </c>
      <c r="J646" s="138">
        <v>0</v>
      </c>
      <c r="K646" s="138">
        <v>907</v>
      </c>
      <c r="L646" s="138">
        <v>0</v>
      </c>
      <c r="M646" s="138">
        <v>0</v>
      </c>
      <c r="N646" s="138">
        <v>0</v>
      </c>
      <c r="O646" s="138">
        <v>0</v>
      </c>
      <c r="P646" s="138">
        <v>0</v>
      </c>
      <c r="Q646" s="138">
        <v>5962</v>
      </c>
      <c r="R646" s="138">
        <v>0</v>
      </c>
      <c r="S646" s="146"/>
    </row>
    <row r="647" spans="1:19" x14ac:dyDescent="0.25">
      <c r="A647" s="59" t="s">
        <v>56</v>
      </c>
      <c r="B647" s="67">
        <v>2450</v>
      </c>
      <c r="C647" s="58"/>
      <c r="D647" s="58"/>
      <c r="E647" s="58">
        <f t="shared" si="190"/>
        <v>2450</v>
      </c>
      <c r="F647" s="138">
        <f t="shared" si="191"/>
        <v>2450</v>
      </c>
      <c r="G647" s="138">
        <v>0</v>
      </c>
      <c r="H647" s="138">
        <v>0</v>
      </c>
      <c r="I647" s="138">
        <v>0</v>
      </c>
      <c r="J647" s="138">
        <v>0</v>
      </c>
      <c r="K647" s="138">
        <v>816</v>
      </c>
      <c r="L647" s="138">
        <v>0</v>
      </c>
      <c r="M647" s="138">
        <v>0</v>
      </c>
      <c r="N647" s="138">
        <v>0</v>
      </c>
      <c r="O647" s="138">
        <v>0</v>
      </c>
      <c r="P647" s="138">
        <v>0</v>
      </c>
      <c r="Q647" s="138">
        <v>1634</v>
      </c>
      <c r="R647" s="138">
        <v>0</v>
      </c>
      <c r="S647" s="146"/>
    </row>
    <row r="648" spans="1:19" x14ac:dyDescent="0.25">
      <c r="A648" s="59" t="s">
        <v>57</v>
      </c>
      <c r="B648" s="67">
        <v>245</v>
      </c>
      <c r="C648" s="58"/>
      <c r="D648" s="58"/>
      <c r="E648" s="58">
        <f t="shared" si="190"/>
        <v>245</v>
      </c>
      <c r="F648" s="138">
        <f t="shared" si="191"/>
        <v>245</v>
      </c>
      <c r="G648" s="138">
        <v>0</v>
      </c>
      <c r="H648" s="138">
        <v>0</v>
      </c>
      <c r="I648" s="138">
        <v>0</v>
      </c>
      <c r="J648" s="138">
        <v>0</v>
      </c>
      <c r="K648" s="138">
        <v>80</v>
      </c>
      <c r="L648" s="138">
        <v>0</v>
      </c>
      <c r="M648" s="138">
        <v>0</v>
      </c>
      <c r="N648" s="138">
        <v>0</v>
      </c>
      <c r="O648" s="138">
        <v>0</v>
      </c>
      <c r="P648" s="138">
        <v>165</v>
      </c>
      <c r="Q648" s="138">
        <v>0</v>
      </c>
      <c r="R648" s="138">
        <v>0</v>
      </c>
      <c r="S648" s="146"/>
    </row>
    <row r="649" spans="1:19" x14ac:dyDescent="0.25">
      <c r="A649" s="59" t="s">
        <v>58</v>
      </c>
      <c r="B649" s="67">
        <v>33840</v>
      </c>
      <c r="C649" s="58"/>
      <c r="D649" s="58"/>
      <c r="E649" s="58">
        <f t="shared" si="190"/>
        <v>33840</v>
      </c>
      <c r="F649" s="138">
        <f t="shared" si="191"/>
        <v>33840</v>
      </c>
      <c r="G649" s="138">
        <v>0</v>
      </c>
      <c r="H649" s="138">
        <v>119</v>
      </c>
      <c r="I649" s="138">
        <v>157.5</v>
      </c>
      <c r="J649" s="138">
        <v>0</v>
      </c>
      <c r="K649" s="138">
        <v>2121</v>
      </c>
      <c r="L649" s="138">
        <v>2400</v>
      </c>
      <c r="M649" s="138">
        <v>402.39</v>
      </c>
      <c r="N649" s="138">
        <v>495.9</v>
      </c>
      <c r="O649" s="138">
        <v>127</v>
      </c>
      <c r="P649" s="138">
        <v>0</v>
      </c>
      <c r="Q649" s="138">
        <v>28017.21</v>
      </c>
      <c r="R649" s="138">
        <v>0</v>
      </c>
      <c r="S649" s="146"/>
    </row>
    <row r="650" spans="1:19" x14ac:dyDescent="0.25">
      <c r="A650" s="59" t="s">
        <v>8</v>
      </c>
      <c r="B650" s="67">
        <v>9800</v>
      </c>
      <c r="C650" s="58"/>
      <c r="D650" s="58"/>
      <c r="E650" s="58">
        <f t="shared" si="190"/>
        <v>9800</v>
      </c>
      <c r="F650" s="138">
        <f t="shared" si="191"/>
        <v>9800</v>
      </c>
      <c r="G650" s="138">
        <v>0</v>
      </c>
      <c r="H650" s="138">
        <v>291.39999999999998</v>
      </c>
      <c r="I650" s="138">
        <v>1103.1400000000001</v>
      </c>
      <c r="J650" s="138">
        <v>262.60000000000002</v>
      </c>
      <c r="K650" s="138">
        <v>0</v>
      </c>
      <c r="L650" s="138">
        <v>0</v>
      </c>
      <c r="M650" s="138">
        <v>0</v>
      </c>
      <c r="N650" s="138">
        <v>0</v>
      </c>
      <c r="O650" s="138">
        <v>0</v>
      </c>
      <c r="P650" s="138">
        <v>0</v>
      </c>
      <c r="Q650" s="138">
        <v>8142.86</v>
      </c>
      <c r="R650" s="138">
        <v>0</v>
      </c>
      <c r="S650" s="146"/>
    </row>
    <row r="651" spans="1:19" x14ac:dyDescent="0.25">
      <c r="A651" s="59" t="s">
        <v>59</v>
      </c>
      <c r="B651" s="67">
        <v>46713.57</v>
      </c>
      <c r="C651" s="58"/>
      <c r="D651" s="58"/>
      <c r="E651" s="58">
        <f t="shared" si="190"/>
        <v>46713.57</v>
      </c>
      <c r="F651" s="138">
        <f t="shared" si="191"/>
        <v>46713.57</v>
      </c>
      <c r="G651" s="138">
        <v>0</v>
      </c>
      <c r="H651" s="138">
        <v>0</v>
      </c>
      <c r="I651" s="138">
        <v>769.97</v>
      </c>
      <c r="J651" s="138">
        <v>29836.1</v>
      </c>
      <c r="K651" s="138">
        <v>10.5</v>
      </c>
      <c r="L651" s="138">
        <v>0</v>
      </c>
      <c r="M651" s="138">
        <v>0</v>
      </c>
      <c r="N651" s="138">
        <v>16097</v>
      </c>
      <c r="O651" s="138">
        <v>0</v>
      </c>
      <c r="P651" s="138">
        <v>0</v>
      </c>
      <c r="Q651" s="138">
        <v>0</v>
      </c>
      <c r="R651" s="138">
        <v>0</v>
      </c>
      <c r="S651" s="146"/>
    </row>
    <row r="652" spans="1:19" x14ac:dyDescent="0.25">
      <c r="A652" s="59" t="s">
        <v>9</v>
      </c>
      <c r="B652" s="67">
        <v>71830.53</v>
      </c>
      <c r="C652" s="58"/>
      <c r="D652" s="58"/>
      <c r="E652" s="58">
        <f t="shared" si="190"/>
        <v>71830.53</v>
      </c>
      <c r="F652" s="138">
        <f t="shared" si="191"/>
        <v>71830.530000000013</v>
      </c>
      <c r="G652" s="138">
        <v>0</v>
      </c>
      <c r="H652" s="138">
        <v>226</v>
      </c>
      <c r="I652" s="138">
        <v>0</v>
      </c>
      <c r="J652" s="138">
        <v>8334.0400000000009</v>
      </c>
      <c r="K652" s="138">
        <v>50094</v>
      </c>
      <c r="L652" s="138">
        <v>12170</v>
      </c>
      <c r="M652" s="138">
        <v>373</v>
      </c>
      <c r="N652" s="138">
        <v>313.99</v>
      </c>
      <c r="O652" s="138">
        <v>319.5</v>
      </c>
      <c r="P652" s="138">
        <v>0</v>
      </c>
      <c r="Q652" s="138">
        <v>0</v>
      </c>
      <c r="R652" s="138">
        <v>0</v>
      </c>
      <c r="S652" s="146"/>
    </row>
    <row r="653" spans="1:19" x14ac:dyDescent="0.25">
      <c r="A653" s="59" t="s">
        <v>60</v>
      </c>
      <c r="B653" s="88">
        <v>6769</v>
      </c>
      <c r="C653" s="58"/>
      <c r="D653" s="58"/>
      <c r="E653" s="58">
        <f t="shared" si="190"/>
        <v>6769</v>
      </c>
      <c r="F653" s="138">
        <f t="shared" si="191"/>
        <v>6769</v>
      </c>
      <c r="G653" s="138">
        <v>0</v>
      </c>
      <c r="H653" s="138">
        <v>0</v>
      </c>
      <c r="I653" s="138">
        <v>0</v>
      </c>
      <c r="J653" s="138">
        <v>0</v>
      </c>
      <c r="K653" s="138">
        <v>277</v>
      </c>
      <c r="L653" s="138">
        <v>0</v>
      </c>
      <c r="M653" s="138">
        <v>0</v>
      </c>
      <c r="N653" s="138">
        <v>2790.81</v>
      </c>
      <c r="O653" s="138">
        <v>0</v>
      </c>
      <c r="P653" s="138">
        <v>0</v>
      </c>
      <c r="Q653" s="138">
        <v>3701.19</v>
      </c>
      <c r="R653" s="138">
        <v>0</v>
      </c>
      <c r="S653" s="146"/>
    </row>
    <row r="654" spans="1:19" x14ac:dyDescent="0.25">
      <c r="A654" s="59" t="s">
        <v>61</v>
      </c>
      <c r="B654" s="88">
        <v>434163</v>
      </c>
      <c r="C654" s="58"/>
      <c r="D654" s="58"/>
      <c r="E654" s="58">
        <f t="shared" si="190"/>
        <v>434163</v>
      </c>
      <c r="F654" s="138">
        <f t="shared" si="191"/>
        <v>434163</v>
      </c>
      <c r="G654" s="138">
        <v>0</v>
      </c>
      <c r="H654" s="138">
        <v>0</v>
      </c>
      <c r="I654" s="138">
        <v>2176.5100000000002</v>
      </c>
      <c r="J654" s="138">
        <v>4195.21</v>
      </c>
      <c r="K654" s="138">
        <v>28899.09</v>
      </c>
      <c r="L654" s="138">
        <v>28330.38</v>
      </c>
      <c r="M654" s="138">
        <v>5763.53</v>
      </c>
      <c r="N654" s="138">
        <v>0</v>
      </c>
      <c r="O654" s="138">
        <v>0</v>
      </c>
      <c r="P654" s="138">
        <v>115000</v>
      </c>
      <c r="Q654" s="138">
        <v>129870</v>
      </c>
      <c r="R654" s="138">
        <v>119928.28</v>
      </c>
      <c r="S654" s="146"/>
    </row>
    <row r="655" spans="1:19" x14ac:dyDescent="0.25">
      <c r="A655" s="59" t="s">
        <v>62</v>
      </c>
      <c r="B655" s="88">
        <v>264433</v>
      </c>
      <c r="C655" s="58"/>
      <c r="D655" s="58"/>
      <c r="E655" s="58">
        <f t="shared" si="190"/>
        <v>264433</v>
      </c>
      <c r="F655" s="138">
        <f t="shared" si="191"/>
        <v>264433</v>
      </c>
      <c r="G655" s="138">
        <v>0</v>
      </c>
      <c r="H655" s="138">
        <v>7685</v>
      </c>
      <c r="I655" s="138">
        <v>52533.919999999998</v>
      </c>
      <c r="J655" s="138">
        <f>261.5+27929.01</f>
        <v>28190.51</v>
      </c>
      <c r="K655" s="138">
        <v>72508</v>
      </c>
      <c r="L655" s="138">
        <v>-36604</v>
      </c>
      <c r="M655" s="138">
        <v>2706.32</v>
      </c>
      <c r="N655" s="138">
        <v>80926.460000000006</v>
      </c>
      <c r="O655" s="138">
        <v>38116.910000000003</v>
      </c>
      <c r="P655" s="138">
        <v>3755.88</v>
      </c>
      <c r="Q655" s="138">
        <v>0</v>
      </c>
      <c r="R655" s="138">
        <v>14614</v>
      </c>
      <c r="S655" s="146"/>
    </row>
    <row r="656" spans="1:19" x14ac:dyDescent="0.25">
      <c r="A656" s="59" t="s">
        <v>10</v>
      </c>
      <c r="B656" s="88">
        <v>164824</v>
      </c>
      <c r="C656" s="58"/>
      <c r="D656" s="58"/>
      <c r="E656" s="58">
        <f t="shared" si="190"/>
        <v>164824</v>
      </c>
      <c r="F656" s="138">
        <f t="shared" si="191"/>
        <v>164824</v>
      </c>
      <c r="G656" s="138">
        <v>0</v>
      </c>
      <c r="H656" s="138">
        <v>0</v>
      </c>
      <c r="I656" s="138">
        <v>0</v>
      </c>
      <c r="J656" s="138">
        <v>0</v>
      </c>
      <c r="K656" s="138">
        <v>20232</v>
      </c>
      <c r="L656" s="138">
        <v>23200</v>
      </c>
      <c r="M656" s="138">
        <v>20232</v>
      </c>
      <c r="N656" s="138">
        <v>20232</v>
      </c>
      <c r="O656" s="138">
        <v>20232</v>
      </c>
      <c r="P656" s="138">
        <v>20232</v>
      </c>
      <c r="Q656" s="138">
        <v>20232</v>
      </c>
      <c r="R656" s="138">
        <v>20232</v>
      </c>
      <c r="S656" s="146"/>
    </row>
    <row r="657" spans="1:19" x14ac:dyDescent="0.25">
      <c r="A657" s="59" t="s">
        <v>231</v>
      </c>
      <c r="B657" s="88">
        <v>2088</v>
      </c>
      <c r="C657" s="58"/>
      <c r="D657" s="58"/>
      <c r="E657" s="58">
        <f t="shared" ref="E657" si="198">+B657+C657+D657</f>
        <v>2088</v>
      </c>
      <c r="F657" s="138">
        <f t="shared" ref="F657" si="199">SUM(G657:R657)</f>
        <v>2088</v>
      </c>
      <c r="G657" s="138">
        <v>0</v>
      </c>
      <c r="H657" s="138">
        <v>0</v>
      </c>
      <c r="I657" s="138">
        <v>0</v>
      </c>
      <c r="J657" s="138">
        <v>0</v>
      </c>
      <c r="K657" s="138">
        <v>0</v>
      </c>
      <c r="L657" s="138">
        <v>0</v>
      </c>
      <c r="M657" s="138">
        <v>2088</v>
      </c>
      <c r="N657" s="138">
        <v>0</v>
      </c>
      <c r="O657" s="138">
        <v>0</v>
      </c>
      <c r="P657" s="138">
        <v>0</v>
      </c>
      <c r="Q657" s="138">
        <v>0</v>
      </c>
      <c r="R657" s="138">
        <v>0</v>
      </c>
      <c r="S657" s="146"/>
    </row>
    <row r="658" spans="1:19" x14ac:dyDescent="0.25">
      <c r="A658" s="59" t="s">
        <v>11</v>
      </c>
      <c r="B658" s="88">
        <v>466876.49</v>
      </c>
      <c r="C658" s="58"/>
      <c r="D658" s="58"/>
      <c r="E658" s="58">
        <f t="shared" si="190"/>
        <v>466876.49</v>
      </c>
      <c r="F658" s="138">
        <f t="shared" si="191"/>
        <v>466876.49</v>
      </c>
      <c r="G658" s="138">
        <v>0</v>
      </c>
      <c r="H658" s="138">
        <v>0</v>
      </c>
      <c r="I658" s="138">
        <v>0</v>
      </c>
      <c r="J658" s="138">
        <v>1204</v>
      </c>
      <c r="K658" s="138">
        <v>15655</v>
      </c>
      <c r="L658" s="138">
        <v>343600</v>
      </c>
      <c r="M658" s="138">
        <v>13868.71</v>
      </c>
      <c r="N658" s="138">
        <v>90373.78</v>
      </c>
      <c r="O658" s="138">
        <v>2175</v>
      </c>
      <c r="P658" s="138">
        <v>0</v>
      </c>
      <c r="Q658" s="138">
        <v>0</v>
      </c>
      <c r="R658" s="138">
        <v>0</v>
      </c>
      <c r="S658" s="146"/>
    </row>
    <row r="659" spans="1:19" x14ac:dyDescent="0.25">
      <c r="A659" s="59" t="s">
        <v>40</v>
      </c>
      <c r="B659" s="88">
        <v>1715</v>
      </c>
      <c r="C659" s="58"/>
      <c r="D659" s="58"/>
      <c r="E659" s="58">
        <f t="shared" si="190"/>
        <v>1715</v>
      </c>
      <c r="F659" s="138">
        <f t="shared" si="191"/>
        <v>1715</v>
      </c>
      <c r="G659" s="138">
        <v>0</v>
      </c>
      <c r="H659" s="138">
        <v>0</v>
      </c>
      <c r="I659" s="138">
        <v>0</v>
      </c>
      <c r="J659" s="138">
        <v>0</v>
      </c>
      <c r="K659" s="138">
        <v>141.1</v>
      </c>
      <c r="L659" s="138">
        <v>0</v>
      </c>
      <c r="M659" s="138">
        <v>0</v>
      </c>
      <c r="N659" s="138">
        <v>0</v>
      </c>
      <c r="O659" s="138">
        <v>0</v>
      </c>
      <c r="P659" s="138">
        <v>0</v>
      </c>
      <c r="Q659" s="138">
        <v>0</v>
      </c>
      <c r="R659" s="138">
        <v>1573.9</v>
      </c>
      <c r="S659" s="146"/>
    </row>
    <row r="660" spans="1:19" x14ac:dyDescent="0.25">
      <c r="A660" s="59" t="s">
        <v>63</v>
      </c>
      <c r="B660" s="88">
        <v>4980</v>
      </c>
      <c r="C660" s="58"/>
      <c r="D660" s="58"/>
      <c r="E660" s="58">
        <f t="shared" si="190"/>
        <v>4980</v>
      </c>
      <c r="F660" s="138">
        <f t="shared" si="191"/>
        <v>4980</v>
      </c>
      <c r="G660" s="138">
        <v>0</v>
      </c>
      <c r="H660" s="138">
        <v>0</v>
      </c>
      <c r="I660" s="138">
        <v>0</v>
      </c>
      <c r="J660" s="138">
        <v>0</v>
      </c>
      <c r="K660" s="138">
        <v>330</v>
      </c>
      <c r="L660" s="138">
        <v>0</v>
      </c>
      <c r="M660" s="138">
        <v>0</v>
      </c>
      <c r="N660" s="138">
        <v>0</v>
      </c>
      <c r="O660" s="138">
        <v>0</v>
      </c>
      <c r="P660" s="138">
        <v>0</v>
      </c>
      <c r="Q660" s="138">
        <v>4650</v>
      </c>
      <c r="R660" s="138">
        <v>0</v>
      </c>
      <c r="S660" s="146"/>
    </row>
    <row r="661" spans="1:19" x14ac:dyDescent="0.25">
      <c r="A661" s="59" t="s">
        <v>64</v>
      </c>
      <c r="B661" s="88">
        <v>7450</v>
      </c>
      <c r="C661" s="58"/>
      <c r="D661" s="58"/>
      <c r="E661" s="58">
        <f t="shared" si="190"/>
        <v>7450</v>
      </c>
      <c r="F661" s="138">
        <f t="shared" si="191"/>
        <v>7450</v>
      </c>
      <c r="G661" s="138">
        <v>0</v>
      </c>
      <c r="H661" s="138">
        <v>0</v>
      </c>
      <c r="I661" s="138">
        <v>0</v>
      </c>
      <c r="J661" s="138">
        <v>0</v>
      </c>
      <c r="K661" s="138">
        <v>814</v>
      </c>
      <c r="L661" s="138">
        <v>0</v>
      </c>
      <c r="M661" s="138">
        <v>0</v>
      </c>
      <c r="N661" s="138">
        <v>0</v>
      </c>
      <c r="O661" s="138">
        <v>0</v>
      </c>
      <c r="P661" s="138">
        <v>0</v>
      </c>
      <c r="Q661" s="138">
        <v>6636</v>
      </c>
      <c r="R661" s="138">
        <v>0</v>
      </c>
      <c r="S661" s="146"/>
    </row>
    <row r="662" spans="1:19" x14ac:dyDescent="0.25">
      <c r="A662" s="59" t="s">
        <v>12</v>
      </c>
      <c r="B662" s="88">
        <v>10780</v>
      </c>
      <c r="C662" s="58"/>
      <c r="D662" s="58"/>
      <c r="E662" s="58">
        <f t="shared" si="190"/>
        <v>10780</v>
      </c>
      <c r="F662" s="138">
        <f t="shared" si="191"/>
        <v>10780</v>
      </c>
      <c r="G662" s="138"/>
      <c r="H662" s="138"/>
      <c r="I662" s="138">
        <v>628</v>
      </c>
      <c r="J662" s="138"/>
      <c r="K662" s="138">
        <v>940</v>
      </c>
      <c r="L662" s="138">
        <v>0</v>
      </c>
      <c r="M662" s="138">
        <v>0</v>
      </c>
      <c r="N662" s="138">
        <v>0</v>
      </c>
      <c r="O662" s="138">
        <v>0</v>
      </c>
      <c r="P662" s="138">
        <v>0</v>
      </c>
      <c r="Q662" s="138">
        <v>5000</v>
      </c>
      <c r="R662" s="138">
        <v>4212</v>
      </c>
      <c r="S662" s="146"/>
    </row>
    <row r="663" spans="1:19" x14ac:dyDescent="0.25">
      <c r="A663" s="59" t="s">
        <v>13</v>
      </c>
      <c r="B663" s="88">
        <v>6953</v>
      </c>
      <c r="C663" s="58"/>
      <c r="D663" s="89"/>
      <c r="E663" s="58">
        <f t="shared" si="190"/>
        <v>6953</v>
      </c>
      <c r="F663" s="138">
        <f t="shared" si="191"/>
        <v>6953</v>
      </c>
      <c r="G663" s="138">
        <v>0</v>
      </c>
      <c r="H663" s="138">
        <v>775.65</v>
      </c>
      <c r="I663" s="138">
        <v>2348.1999999999998</v>
      </c>
      <c r="J663" s="138">
        <v>148</v>
      </c>
      <c r="K663" s="138">
        <v>863</v>
      </c>
      <c r="L663" s="138">
        <v>2766.04</v>
      </c>
      <c r="M663" s="138">
        <v>0</v>
      </c>
      <c r="N663" s="138">
        <v>0</v>
      </c>
      <c r="O663" s="138">
        <v>0</v>
      </c>
      <c r="P663" s="138">
        <v>0</v>
      </c>
      <c r="Q663" s="138">
        <v>0</v>
      </c>
      <c r="R663" s="138">
        <v>52.11</v>
      </c>
      <c r="S663" s="146"/>
    </row>
    <row r="664" spans="1:19" x14ac:dyDescent="0.25">
      <c r="A664" s="59" t="s">
        <v>172</v>
      </c>
      <c r="B664" s="88">
        <v>2450</v>
      </c>
      <c r="C664" s="58"/>
      <c r="D664" s="89"/>
      <c r="E664" s="58">
        <f t="shared" si="190"/>
        <v>2450</v>
      </c>
      <c r="F664" s="138">
        <f t="shared" si="191"/>
        <v>2450</v>
      </c>
      <c r="G664" s="138">
        <v>0</v>
      </c>
      <c r="H664" s="138">
        <v>0</v>
      </c>
      <c r="I664" s="138">
        <v>0</v>
      </c>
      <c r="J664" s="138">
        <v>0</v>
      </c>
      <c r="K664" s="138">
        <v>357</v>
      </c>
      <c r="L664" s="138">
        <v>0</v>
      </c>
      <c r="M664" s="138">
        <v>0</v>
      </c>
      <c r="N664" s="138">
        <v>0</v>
      </c>
      <c r="O664" s="138">
        <v>0</v>
      </c>
      <c r="P664" s="138">
        <v>0</v>
      </c>
      <c r="Q664" s="138">
        <v>0</v>
      </c>
      <c r="R664" s="138">
        <v>2093</v>
      </c>
      <c r="S664" s="146"/>
    </row>
    <row r="665" spans="1:19" x14ac:dyDescent="0.25">
      <c r="A665" s="117" t="s">
        <v>171</v>
      </c>
      <c r="B665" s="88">
        <v>52000</v>
      </c>
      <c r="C665" s="63"/>
      <c r="D665" s="89"/>
      <c r="E665" s="58">
        <f t="shared" si="190"/>
        <v>52000</v>
      </c>
      <c r="F665" s="138">
        <f t="shared" si="191"/>
        <v>52000</v>
      </c>
      <c r="G665" s="138">
        <v>0</v>
      </c>
      <c r="H665" s="138">
        <v>0</v>
      </c>
      <c r="I665" s="138">
        <v>0</v>
      </c>
      <c r="J665" s="138">
        <v>0</v>
      </c>
      <c r="K665" s="138">
        <v>3374.6</v>
      </c>
      <c r="L665" s="138">
        <v>0</v>
      </c>
      <c r="M665" s="138">
        <v>2969.6</v>
      </c>
      <c r="N665" s="138">
        <v>369</v>
      </c>
      <c r="O665" s="138">
        <v>0</v>
      </c>
      <c r="P665" s="138">
        <v>0</v>
      </c>
      <c r="Q665" s="138">
        <v>22000</v>
      </c>
      <c r="R665" s="138">
        <v>23286.799999999999</v>
      </c>
      <c r="S665" s="146"/>
    </row>
    <row r="666" spans="1:19" x14ac:dyDescent="0.25">
      <c r="A666" s="59" t="s">
        <v>36</v>
      </c>
      <c r="B666" s="67">
        <v>5954</v>
      </c>
      <c r="C666" s="58"/>
      <c r="D666" s="58"/>
      <c r="E666" s="70">
        <f t="shared" si="190"/>
        <v>5954</v>
      </c>
      <c r="F666" s="138">
        <f t="shared" si="191"/>
        <v>5954</v>
      </c>
      <c r="G666" s="138">
        <v>0</v>
      </c>
      <c r="H666" s="138">
        <v>0</v>
      </c>
      <c r="I666" s="138">
        <v>0</v>
      </c>
      <c r="J666" s="138">
        <v>0</v>
      </c>
      <c r="K666" s="138">
        <v>636.5</v>
      </c>
      <c r="L666" s="138">
        <v>0</v>
      </c>
      <c r="M666" s="138">
        <v>0</v>
      </c>
      <c r="N666" s="138">
        <v>0</v>
      </c>
      <c r="O666" s="138">
        <v>0</v>
      </c>
      <c r="P666" s="138">
        <v>0</v>
      </c>
      <c r="Q666" s="138">
        <v>5317.5</v>
      </c>
      <c r="R666" s="138">
        <v>0</v>
      </c>
      <c r="S666" s="146"/>
    </row>
    <row r="667" spans="1:19" x14ac:dyDescent="0.25">
      <c r="A667" s="59" t="s">
        <v>5</v>
      </c>
      <c r="B667" s="58"/>
      <c r="C667" s="58"/>
      <c r="D667" s="58"/>
      <c r="E667" s="58">
        <f t="shared" si="190"/>
        <v>0</v>
      </c>
      <c r="F667" s="138">
        <f t="shared" si="191"/>
        <v>0</v>
      </c>
      <c r="G667" s="138"/>
      <c r="H667" s="138"/>
      <c r="I667" s="138"/>
      <c r="J667" s="138"/>
      <c r="K667" s="138"/>
      <c r="L667" s="138">
        <v>0</v>
      </c>
      <c r="M667" s="138">
        <v>0</v>
      </c>
      <c r="N667" s="138">
        <v>0</v>
      </c>
      <c r="O667" s="138">
        <v>0</v>
      </c>
      <c r="P667" s="138">
        <v>0</v>
      </c>
      <c r="Q667" s="138">
        <v>0</v>
      </c>
      <c r="R667" s="138">
        <v>0</v>
      </c>
      <c r="S667" s="137"/>
    </row>
    <row r="668" spans="1:19" x14ac:dyDescent="0.25">
      <c r="A668" s="9"/>
      <c r="B668" s="40"/>
      <c r="C668" s="40"/>
      <c r="D668" s="40"/>
      <c r="E668" s="51"/>
      <c r="F668" s="138" t="s">
        <v>75</v>
      </c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7"/>
    </row>
    <row r="669" spans="1:19" ht="18.75" x14ac:dyDescent="0.4">
      <c r="A669" s="32" t="s">
        <v>111</v>
      </c>
      <c r="B669" s="40"/>
      <c r="C669" s="40"/>
      <c r="D669" s="40"/>
      <c r="E669" s="51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7"/>
    </row>
    <row r="670" spans="1:19" x14ac:dyDescent="0.25">
      <c r="A670" s="59"/>
      <c r="B670" s="58"/>
      <c r="C670" s="58"/>
      <c r="D670" s="58"/>
      <c r="E670" s="58">
        <f t="shared" ref="E670:E671" si="200">+B670+C670+D670</f>
        <v>0</v>
      </c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7"/>
    </row>
    <row r="671" spans="1:19" x14ac:dyDescent="0.25">
      <c r="A671" s="59"/>
      <c r="B671" s="58"/>
      <c r="C671" s="58"/>
      <c r="D671" s="58"/>
      <c r="E671" s="58">
        <f t="shared" si="200"/>
        <v>0</v>
      </c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7"/>
    </row>
    <row r="672" spans="1:19" ht="18.75" x14ac:dyDescent="0.4">
      <c r="A672" s="32" t="s">
        <v>112</v>
      </c>
      <c r="B672" s="40"/>
      <c r="C672" s="40"/>
      <c r="D672" s="40"/>
      <c r="E672" s="51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7"/>
    </row>
    <row r="673" spans="1:19" x14ac:dyDescent="0.25">
      <c r="A673" s="60" t="s">
        <v>124</v>
      </c>
      <c r="B673" s="58">
        <v>0</v>
      </c>
      <c r="C673" s="58"/>
      <c r="D673" s="58"/>
      <c r="E673" s="58">
        <f t="shared" ref="E673:E674" si="201">+B673+C673+D673</f>
        <v>0</v>
      </c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7"/>
    </row>
    <row r="674" spans="1:19" x14ac:dyDescent="0.25">
      <c r="A674" s="60" t="s">
        <v>75</v>
      </c>
      <c r="B674" s="61">
        <v>0</v>
      </c>
      <c r="C674" s="58"/>
      <c r="D674" s="58"/>
      <c r="E674" s="58">
        <f t="shared" si="201"/>
        <v>0</v>
      </c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7"/>
    </row>
    <row r="675" spans="1:19" ht="18.75" x14ac:dyDescent="0.4">
      <c r="A675" s="34" t="s">
        <v>113</v>
      </c>
      <c r="B675" s="40"/>
      <c r="C675" s="40"/>
      <c r="D675" s="40"/>
      <c r="E675" s="51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7"/>
    </row>
    <row r="676" spans="1:19" x14ac:dyDescent="0.25">
      <c r="A676" s="87" t="s">
        <v>127</v>
      </c>
      <c r="B676" s="58"/>
      <c r="C676" s="58">
        <v>39998</v>
      </c>
      <c r="D676" s="58"/>
      <c r="E676" s="70">
        <f t="shared" ref="E676:E682" si="202">+B676+C676+D676</f>
        <v>39998</v>
      </c>
      <c r="F676" s="138">
        <f t="shared" ref="F676:F682" si="203">SUM(G676:R676)</f>
        <v>39998</v>
      </c>
      <c r="G676" s="138">
        <v>0</v>
      </c>
      <c r="H676" s="138">
        <v>0</v>
      </c>
      <c r="I676" s="138">
        <v>39998</v>
      </c>
      <c r="J676" s="138">
        <v>0</v>
      </c>
      <c r="K676" s="138">
        <v>0</v>
      </c>
      <c r="L676" s="138">
        <v>0</v>
      </c>
      <c r="M676" s="138">
        <v>0</v>
      </c>
      <c r="N676" s="138">
        <v>0</v>
      </c>
      <c r="O676" s="138">
        <v>0</v>
      </c>
      <c r="P676" s="138">
        <v>0</v>
      </c>
      <c r="Q676" s="138">
        <v>0</v>
      </c>
      <c r="R676" s="138">
        <v>0</v>
      </c>
      <c r="S676" s="137"/>
    </row>
    <row r="677" spans="1:19" x14ac:dyDescent="0.25">
      <c r="A677" s="59" t="s">
        <v>128</v>
      </c>
      <c r="B677" s="58"/>
      <c r="C677" s="58">
        <v>14500</v>
      </c>
      <c r="D677" s="58"/>
      <c r="E677" s="70">
        <f t="shared" si="202"/>
        <v>14500</v>
      </c>
      <c r="F677" s="138">
        <f t="shared" si="203"/>
        <v>14500</v>
      </c>
      <c r="G677" s="138">
        <v>0</v>
      </c>
      <c r="H677" s="138">
        <v>0</v>
      </c>
      <c r="I677" s="138">
        <v>0</v>
      </c>
      <c r="J677" s="138">
        <v>0</v>
      </c>
      <c r="K677" s="138">
        <v>0</v>
      </c>
      <c r="L677" s="138">
        <v>0</v>
      </c>
      <c r="M677" s="138">
        <v>0</v>
      </c>
      <c r="N677" s="138">
        <v>0</v>
      </c>
      <c r="O677" s="138">
        <v>0</v>
      </c>
      <c r="P677" s="138">
        <v>14500</v>
      </c>
      <c r="Q677" s="138">
        <v>0</v>
      </c>
      <c r="R677" s="138">
        <v>0</v>
      </c>
      <c r="S677" s="137"/>
    </row>
    <row r="678" spans="1:19" x14ac:dyDescent="0.25">
      <c r="A678" s="59" t="s">
        <v>271</v>
      </c>
      <c r="B678" s="58"/>
      <c r="C678" s="58">
        <v>1000000</v>
      </c>
      <c r="D678" s="58"/>
      <c r="E678" s="70">
        <f t="shared" si="202"/>
        <v>1000000</v>
      </c>
      <c r="F678" s="138">
        <f t="shared" si="203"/>
        <v>1000000</v>
      </c>
      <c r="G678" s="138">
        <v>0</v>
      </c>
      <c r="H678" s="138">
        <v>0</v>
      </c>
      <c r="I678" s="138">
        <v>0</v>
      </c>
      <c r="J678" s="138">
        <v>0</v>
      </c>
      <c r="K678" s="138">
        <v>0</v>
      </c>
      <c r="L678" s="138">
        <v>0</v>
      </c>
      <c r="M678" s="138">
        <v>0</v>
      </c>
      <c r="N678" s="138">
        <v>0</v>
      </c>
      <c r="O678" s="138">
        <v>1000000</v>
      </c>
      <c r="P678" s="138">
        <v>0</v>
      </c>
      <c r="Q678" s="138">
        <v>0</v>
      </c>
      <c r="R678" s="138">
        <v>0</v>
      </c>
      <c r="S678" s="137"/>
    </row>
    <row r="679" spans="1:19" x14ac:dyDescent="0.25">
      <c r="A679" s="59" t="s">
        <v>272</v>
      </c>
      <c r="B679" s="58"/>
      <c r="C679" s="58">
        <v>8236</v>
      </c>
      <c r="D679" s="58"/>
      <c r="E679" s="70">
        <f t="shared" si="202"/>
        <v>8236</v>
      </c>
      <c r="F679" s="138">
        <f t="shared" si="203"/>
        <v>8236</v>
      </c>
      <c r="G679" s="138">
        <v>0</v>
      </c>
      <c r="H679" s="138">
        <v>0</v>
      </c>
      <c r="I679" s="138">
        <v>0</v>
      </c>
      <c r="J679" s="138">
        <v>8236</v>
      </c>
      <c r="K679" s="138">
        <v>0</v>
      </c>
      <c r="L679" s="138">
        <v>0</v>
      </c>
      <c r="M679" s="138">
        <v>0</v>
      </c>
      <c r="N679" s="138">
        <v>0</v>
      </c>
      <c r="O679" s="138">
        <v>0</v>
      </c>
      <c r="P679" s="138">
        <v>0</v>
      </c>
      <c r="Q679" s="138">
        <v>0</v>
      </c>
      <c r="R679" s="138">
        <v>0</v>
      </c>
      <c r="S679" s="137"/>
    </row>
    <row r="680" spans="1:19" x14ac:dyDescent="0.25">
      <c r="A680" s="59" t="s">
        <v>273</v>
      </c>
      <c r="B680" s="58"/>
      <c r="C680" s="58">
        <v>20944.61</v>
      </c>
      <c r="D680" s="58"/>
      <c r="E680" s="70">
        <f t="shared" si="202"/>
        <v>20944.61</v>
      </c>
      <c r="F680" s="138">
        <f t="shared" si="203"/>
        <v>20944.61</v>
      </c>
      <c r="G680" s="138">
        <v>0</v>
      </c>
      <c r="H680" s="138">
        <v>0</v>
      </c>
      <c r="I680" s="138">
        <v>0</v>
      </c>
      <c r="J680" s="138">
        <v>0</v>
      </c>
      <c r="K680" s="138">
        <v>20945</v>
      </c>
      <c r="L680" s="138">
        <v>0</v>
      </c>
      <c r="M680" s="138">
        <v>-0.39</v>
      </c>
      <c r="N680" s="138">
        <v>0</v>
      </c>
      <c r="O680" s="138">
        <v>0</v>
      </c>
      <c r="P680" s="138">
        <v>0</v>
      </c>
      <c r="Q680" s="138">
        <v>0</v>
      </c>
      <c r="R680" s="138">
        <v>0</v>
      </c>
      <c r="S680" s="137"/>
    </row>
    <row r="681" spans="1:19" x14ac:dyDescent="0.25">
      <c r="A681" s="59" t="s">
        <v>270</v>
      </c>
      <c r="B681" s="58"/>
      <c r="C681" s="58">
        <v>6831.44</v>
      </c>
      <c r="D681" s="58"/>
      <c r="E681" s="70">
        <f t="shared" si="202"/>
        <v>6831.44</v>
      </c>
      <c r="F681" s="138">
        <f t="shared" si="203"/>
        <v>6831.44</v>
      </c>
      <c r="G681" s="138">
        <v>0</v>
      </c>
      <c r="H681" s="138">
        <v>0</v>
      </c>
      <c r="I681" s="138">
        <v>0</v>
      </c>
      <c r="J681" s="138">
        <v>0</v>
      </c>
      <c r="K681" s="138">
        <v>0</v>
      </c>
      <c r="L681" s="138">
        <v>6831.44</v>
      </c>
      <c r="M681" s="138">
        <v>0</v>
      </c>
      <c r="N681" s="138">
        <v>0</v>
      </c>
      <c r="O681" s="138">
        <v>0</v>
      </c>
      <c r="P681" s="138">
        <v>0</v>
      </c>
      <c r="Q681" s="138">
        <v>0</v>
      </c>
      <c r="R681" s="138">
        <v>0</v>
      </c>
      <c r="S681" s="137"/>
    </row>
    <row r="682" spans="1:19" x14ac:dyDescent="0.25">
      <c r="A682" s="59" t="s">
        <v>274</v>
      </c>
      <c r="B682" s="58"/>
      <c r="C682" s="58">
        <v>4566</v>
      </c>
      <c r="D682" s="58"/>
      <c r="E682" s="70">
        <f t="shared" si="202"/>
        <v>4566</v>
      </c>
      <c r="F682" s="138">
        <f t="shared" si="203"/>
        <v>4566</v>
      </c>
      <c r="G682" s="138">
        <v>0</v>
      </c>
      <c r="H682" s="138">
        <v>0</v>
      </c>
      <c r="I682" s="138">
        <v>0</v>
      </c>
      <c r="J682" s="138">
        <v>0</v>
      </c>
      <c r="K682" s="138">
        <v>0</v>
      </c>
      <c r="L682" s="138">
        <v>0</v>
      </c>
      <c r="M682" s="138">
        <v>0</v>
      </c>
      <c r="N682" s="138">
        <v>4566</v>
      </c>
      <c r="O682" s="138">
        <v>0</v>
      </c>
      <c r="P682" s="138">
        <v>0</v>
      </c>
      <c r="Q682" s="138">
        <v>0</v>
      </c>
      <c r="R682" s="138">
        <v>0</v>
      </c>
      <c r="S682" s="137"/>
    </row>
    <row r="683" spans="1:19" x14ac:dyDescent="0.25">
      <c r="A683" s="9"/>
      <c r="B683" s="40"/>
      <c r="C683" s="40"/>
      <c r="D683" s="40"/>
      <c r="E683" s="51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7"/>
    </row>
    <row r="684" spans="1:19" ht="18.75" x14ac:dyDescent="0.4">
      <c r="A684" s="169" t="s">
        <v>65</v>
      </c>
      <c r="B684" s="169"/>
      <c r="C684" s="169"/>
      <c r="D684" s="169"/>
      <c r="E684" s="169"/>
      <c r="F684" s="150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7"/>
    </row>
    <row r="685" spans="1:19" x14ac:dyDescent="0.25">
      <c r="A685" s="23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7"/>
    </row>
    <row r="686" spans="1:19" ht="30" x14ac:dyDescent="0.25">
      <c r="A686" s="33" t="s">
        <v>105</v>
      </c>
      <c r="B686" s="38" t="s">
        <v>106</v>
      </c>
      <c r="C686" s="38" t="s">
        <v>107</v>
      </c>
      <c r="D686" s="38" t="s">
        <v>108</v>
      </c>
      <c r="E686" s="38" t="s">
        <v>109</v>
      </c>
      <c r="F686" s="138"/>
      <c r="G686" s="38" t="s">
        <v>192</v>
      </c>
      <c r="H686" s="38" t="s">
        <v>193</v>
      </c>
      <c r="I686" s="38" t="s">
        <v>194</v>
      </c>
      <c r="J686" s="38" t="s">
        <v>195</v>
      </c>
      <c r="K686" s="38" t="s">
        <v>196</v>
      </c>
      <c r="L686" s="38" t="s">
        <v>197</v>
      </c>
      <c r="M686" s="38" t="s">
        <v>198</v>
      </c>
      <c r="N686" s="38" t="s">
        <v>199</v>
      </c>
      <c r="O686" s="38" t="s">
        <v>200</v>
      </c>
      <c r="P686" s="38" t="s">
        <v>201</v>
      </c>
      <c r="Q686" s="38" t="s">
        <v>202</v>
      </c>
      <c r="R686" s="38" t="s">
        <v>203</v>
      </c>
      <c r="S686" s="137"/>
    </row>
    <row r="687" spans="1:19" ht="18.75" x14ac:dyDescent="0.4">
      <c r="A687" s="32" t="s">
        <v>110</v>
      </c>
      <c r="B687" s="37">
        <f>SUM(B688:B730)</f>
        <v>2503303.7800000007</v>
      </c>
      <c r="C687" s="37">
        <f t="shared" ref="C687:E687" si="204">SUM(C688:C730)</f>
        <v>960059.64999999991</v>
      </c>
      <c r="D687" s="37">
        <f t="shared" si="204"/>
        <v>0</v>
      </c>
      <c r="E687" s="37">
        <f t="shared" si="204"/>
        <v>3463363.4299999997</v>
      </c>
      <c r="F687" s="138">
        <f>+E710-F710</f>
        <v>6</v>
      </c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7"/>
    </row>
    <row r="688" spans="1:19" x14ac:dyDescent="0.25">
      <c r="A688" s="59" t="s">
        <v>1</v>
      </c>
      <c r="B688" s="128">
        <f>200700-C688</f>
        <v>186554.94</v>
      </c>
      <c r="C688" s="123">
        <v>14145.06</v>
      </c>
      <c r="D688" s="58"/>
      <c r="E688" s="58">
        <f t="shared" ref="E688:E720" si="205">+B688+C688+D688</f>
        <v>200700</v>
      </c>
      <c r="F688" s="138">
        <f t="shared" ref="F688:F720" si="206">SUM(G688:R688)</f>
        <v>200700</v>
      </c>
      <c r="G688" s="138">
        <v>0</v>
      </c>
      <c r="H688" s="138">
        <v>0</v>
      </c>
      <c r="I688" s="138">
        <v>0</v>
      </c>
      <c r="J688" s="138">
        <v>622.66999999999996</v>
      </c>
      <c r="K688" s="138">
        <f>20590-9094.4</f>
        <v>11495.6</v>
      </c>
      <c r="L688" s="138">
        <v>1450</v>
      </c>
      <c r="M688" s="138">
        <v>380.5</v>
      </c>
      <c r="N688" s="138">
        <v>44445.37</v>
      </c>
      <c r="O688" s="138">
        <v>12805.86</v>
      </c>
      <c r="P688" s="138">
        <v>35800</v>
      </c>
      <c r="Q688" s="138">
        <v>58700</v>
      </c>
      <c r="R688" s="138">
        <v>35000</v>
      </c>
      <c r="S688" s="137"/>
    </row>
    <row r="689" spans="1:34" x14ac:dyDescent="0.25">
      <c r="A689" s="59" t="s">
        <v>2</v>
      </c>
      <c r="B689" s="128">
        <f>22396+212.5</f>
        <v>22608.5</v>
      </c>
      <c r="C689" s="129">
        <v>8004</v>
      </c>
      <c r="D689" s="58"/>
      <c r="E689" s="58">
        <f t="shared" si="205"/>
        <v>30612.5</v>
      </c>
      <c r="F689" s="138">
        <f t="shared" si="206"/>
        <v>30612.5</v>
      </c>
      <c r="G689" s="138">
        <v>0</v>
      </c>
      <c r="H689" s="138">
        <v>0</v>
      </c>
      <c r="I689" s="138">
        <v>0</v>
      </c>
      <c r="J689" s="138">
        <v>0</v>
      </c>
      <c r="K689" s="138">
        <f>9776-6063.5</f>
        <v>3712.5</v>
      </c>
      <c r="L689" s="138">
        <v>0</v>
      </c>
      <c r="M689" s="138">
        <v>0</v>
      </c>
      <c r="N689" s="138">
        <v>0</v>
      </c>
      <c r="O689" s="138">
        <v>0</v>
      </c>
      <c r="P689" s="138">
        <v>22000</v>
      </c>
      <c r="Q689" s="138">
        <v>4900</v>
      </c>
      <c r="R689" s="138">
        <v>0</v>
      </c>
      <c r="S689" s="137"/>
    </row>
    <row r="690" spans="1:34" x14ac:dyDescent="0.25">
      <c r="A690" s="59" t="s">
        <v>53</v>
      </c>
      <c r="B690" s="77">
        <v>7350</v>
      </c>
      <c r="C690" s="127"/>
      <c r="D690" s="58"/>
      <c r="E690" s="58">
        <f>+B690+C690+D690</f>
        <v>7350</v>
      </c>
      <c r="F690" s="138">
        <f t="shared" si="206"/>
        <v>7350</v>
      </c>
      <c r="G690" s="138">
        <v>0</v>
      </c>
      <c r="H690" s="138">
        <v>0</v>
      </c>
      <c r="I690" s="138">
        <v>0</v>
      </c>
      <c r="J690" s="138">
        <v>0</v>
      </c>
      <c r="K690" s="138">
        <v>0</v>
      </c>
      <c r="L690" s="138">
        <v>0</v>
      </c>
      <c r="M690" s="138">
        <v>0</v>
      </c>
      <c r="N690" s="138">
        <v>0</v>
      </c>
      <c r="O690" s="138">
        <v>0</v>
      </c>
      <c r="P690" s="138">
        <v>7350</v>
      </c>
      <c r="Q690" s="138">
        <v>0</v>
      </c>
      <c r="R690" s="138">
        <v>0</v>
      </c>
      <c r="S690" s="137"/>
    </row>
    <row r="691" spans="1:34" x14ac:dyDescent="0.25">
      <c r="A691" s="59" t="s">
        <v>3</v>
      </c>
      <c r="B691" s="128">
        <f>259928-C691</f>
        <v>174554.91</v>
      </c>
      <c r="C691" s="123">
        <v>85373.09</v>
      </c>
      <c r="D691" s="58"/>
      <c r="E691" s="58">
        <f t="shared" si="205"/>
        <v>259928</v>
      </c>
      <c r="F691" s="138">
        <f t="shared" si="206"/>
        <v>259928</v>
      </c>
      <c r="G691" s="138">
        <v>0</v>
      </c>
      <c r="H691" s="138">
        <v>906.82</v>
      </c>
      <c r="I691" s="138">
        <v>84.97</v>
      </c>
      <c r="J691" s="138">
        <v>532.88</v>
      </c>
      <c r="K691" s="138">
        <f>10395-4000</f>
        <v>6395</v>
      </c>
      <c r="L691" s="138">
        <v>1116.8499999999999</v>
      </c>
      <c r="M691" s="138">
        <v>6343.48</v>
      </c>
      <c r="N691" s="138">
        <v>15000</v>
      </c>
      <c r="O691" s="138">
        <v>3828</v>
      </c>
      <c r="P691" s="138">
        <v>87500</v>
      </c>
      <c r="Q691" s="138">
        <v>95320</v>
      </c>
      <c r="R691" s="138">
        <v>42900</v>
      </c>
      <c r="S691" s="137"/>
    </row>
    <row r="692" spans="1:34" x14ac:dyDescent="0.25">
      <c r="A692" s="59" t="s">
        <v>54</v>
      </c>
      <c r="B692" s="77">
        <v>51058.45</v>
      </c>
      <c r="C692" s="127"/>
      <c r="D692" s="58"/>
      <c r="E692" s="58">
        <f t="shared" si="205"/>
        <v>51058.45</v>
      </c>
      <c r="F692" s="138">
        <f t="shared" si="206"/>
        <v>51058.45</v>
      </c>
      <c r="G692" s="138">
        <v>1082.9000000000001</v>
      </c>
      <c r="H692" s="138">
        <v>0</v>
      </c>
      <c r="I692" s="138">
        <v>0</v>
      </c>
      <c r="J692" s="138">
        <v>0</v>
      </c>
      <c r="K692" s="138">
        <v>1035</v>
      </c>
      <c r="L692" s="138">
        <v>47.9</v>
      </c>
      <c r="M692" s="138">
        <v>192.65</v>
      </c>
      <c r="N692" s="138">
        <v>0</v>
      </c>
      <c r="O692" s="138">
        <v>0</v>
      </c>
      <c r="P692" s="138">
        <v>19800</v>
      </c>
      <c r="Q692" s="138">
        <v>21000</v>
      </c>
      <c r="R692" s="138">
        <v>7900</v>
      </c>
      <c r="S692" s="137">
        <v>0</v>
      </c>
    </row>
    <row r="693" spans="1:34" x14ac:dyDescent="0.25">
      <c r="A693" s="59" t="s">
        <v>39</v>
      </c>
      <c r="B693" s="77">
        <v>23951.200000000001</v>
      </c>
      <c r="C693" s="127"/>
      <c r="D693" s="58"/>
      <c r="E693" s="58">
        <f>+B693+C693+D693</f>
        <v>23951.200000000001</v>
      </c>
      <c r="F693" s="138">
        <f t="shared" si="206"/>
        <v>23951.200000000001</v>
      </c>
      <c r="G693" s="138">
        <v>0</v>
      </c>
      <c r="H693" s="138">
        <v>0</v>
      </c>
      <c r="I693" s="138">
        <v>30.01</v>
      </c>
      <c r="J693" s="138">
        <v>0</v>
      </c>
      <c r="K693" s="138">
        <v>0</v>
      </c>
      <c r="L693" s="138">
        <v>219.86</v>
      </c>
      <c r="M693" s="138">
        <v>282.89</v>
      </c>
      <c r="N693" s="138">
        <v>0</v>
      </c>
      <c r="O693" s="138">
        <v>213.44</v>
      </c>
      <c r="P693" s="138">
        <v>18500</v>
      </c>
      <c r="Q693" s="138">
        <v>1000</v>
      </c>
      <c r="R693" s="138">
        <v>3705</v>
      </c>
      <c r="S693" s="137"/>
    </row>
    <row r="694" spans="1:34" x14ac:dyDescent="0.25">
      <c r="A694" s="59" t="s">
        <v>18</v>
      </c>
      <c r="B694" s="77">
        <f>1546800-C694</f>
        <v>1278326.05</v>
      </c>
      <c r="C694" s="123">
        <v>268473.95</v>
      </c>
      <c r="D694" s="58"/>
      <c r="E694" s="58">
        <f t="shared" si="205"/>
        <v>1546800</v>
      </c>
      <c r="F694" s="138">
        <f t="shared" si="206"/>
        <v>1546800</v>
      </c>
      <c r="G694" s="138">
        <v>0</v>
      </c>
      <c r="H694" s="138">
        <v>211.2</v>
      </c>
      <c r="I694" s="138">
        <v>487.62</v>
      </c>
      <c r="J694" s="138">
        <v>990</v>
      </c>
      <c r="K694" s="138">
        <v>205727</v>
      </c>
      <c r="L694" s="138">
        <v>757248.14</v>
      </c>
      <c r="M694" s="138">
        <v>6816.37</v>
      </c>
      <c r="N694" s="138">
        <v>6800.82</v>
      </c>
      <c r="O694" s="138">
        <v>718.85</v>
      </c>
      <c r="P694" s="138">
        <v>341800</v>
      </c>
      <c r="Q694" s="138">
        <v>125000</v>
      </c>
      <c r="R694" s="138">
        <v>101000</v>
      </c>
      <c r="S694" s="137"/>
    </row>
    <row r="695" spans="1:34" x14ac:dyDescent="0.25">
      <c r="A695" s="59" t="s">
        <v>224</v>
      </c>
      <c r="B695" s="77">
        <v>41156</v>
      </c>
      <c r="C695" s="123"/>
      <c r="D695" s="58"/>
      <c r="E695" s="58">
        <f t="shared" si="205"/>
        <v>41156</v>
      </c>
      <c r="F695" s="138">
        <f t="shared" si="206"/>
        <v>41156.5</v>
      </c>
      <c r="G695" s="138">
        <v>0</v>
      </c>
      <c r="H695" s="138">
        <v>0</v>
      </c>
      <c r="I695" s="138">
        <v>0</v>
      </c>
      <c r="J695" s="138">
        <v>1161</v>
      </c>
      <c r="K695" s="138">
        <v>16312.5</v>
      </c>
      <c r="L695" s="138">
        <v>3375</v>
      </c>
      <c r="M695" s="138">
        <v>11247.5</v>
      </c>
      <c r="N695" s="138">
        <v>0</v>
      </c>
      <c r="O695" s="138">
        <v>9060.5</v>
      </c>
      <c r="P695" s="138">
        <v>0</v>
      </c>
      <c r="Q695" s="138">
        <v>0</v>
      </c>
      <c r="R695" s="138">
        <v>0</v>
      </c>
      <c r="S695" s="137"/>
    </row>
    <row r="696" spans="1:34" x14ac:dyDescent="0.25">
      <c r="A696" s="59" t="s">
        <v>55</v>
      </c>
      <c r="B696" s="77">
        <v>15354.33</v>
      </c>
      <c r="C696" s="123">
        <v>16506.8</v>
      </c>
      <c r="D696" s="58"/>
      <c r="E696" s="58">
        <f t="shared" si="205"/>
        <v>31861.129999999997</v>
      </c>
      <c r="F696" s="138">
        <f t="shared" si="206"/>
        <v>31385.040000000001</v>
      </c>
      <c r="G696" s="138">
        <v>0</v>
      </c>
      <c r="H696" s="138">
        <v>0</v>
      </c>
      <c r="I696" s="138">
        <v>0</v>
      </c>
      <c r="J696" s="138">
        <v>2673</v>
      </c>
      <c r="K696" s="138">
        <v>11912.04</v>
      </c>
      <c r="L696" s="138">
        <v>0</v>
      </c>
      <c r="M696" s="138">
        <v>0</v>
      </c>
      <c r="N696" s="138">
        <v>0</v>
      </c>
      <c r="O696" s="138">
        <v>0</v>
      </c>
      <c r="P696" s="138">
        <v>16800</v>
      </c>
      <c r="Q696" s="138">
        <v>0</v>
      </c>
      <c r="R696" s="138">
        <v>0</v>
      </c>
      <c r="S696" s="137"/>
    </row>
    <row r="697" spans="1:34" x14ac:dyDescent="0.25">
      <c r="A697" s="59" t="s">
        <v>7</v>
      </c>
      <c r="B697" s="77">
        <v>7650</v>
      </c>
      <c r="C697" s="127"/>
      <c r="D697" s="58"/>
      <c r="E697" s="58">
        <f t="shared" si="205"/>
        <v>7650</v>
      </c>
      <c r="F697" s="138">
        <f t="shared" si="206"/>
        <v>7650</v>
      </c>
      <c r="G697" s="138">
        <v>0</v>
      </c>
      <c r="H697" s="138">
        <v>817.99</v>
      </c>
      <c r="I697" s="138">
        <v>0</v>
      </c>
      <c r="J697" s="138">
        <v>0</v>
      </c>
      <c r="K697" s="138">
        <v>45.37</v>
      </c>
      <c r="L697" s="138">
        <v>0</v>
      </c>
      <c r="M697" s="138">
        <v>2807.2</v>
      </c>
      <c r="N697" s="138">
        <v>0</v>
      </c>
      <c r="O697" s="138">
        <v>329.44</v>
      </c>
      <c r="P697" s="138">
        <v>0</v>
      </c>
      <c r="Q697" s="138">
        <v>3650</v>
      </c>
      <c r="R697" s="138">
        <v>0</v>
      </c>
      <c r="S697" s="137"/>
    </row>
    <row r="698" spans="1:34" x14ac:dyDescent="0.25">
      <c r="A698" s="59" t="s">
        <v>56</v>
      </c>
      <c r="B698" s="77">
        <v>2452.56</v>
      </c>
      <c r="C698" s="127"/>
      <c r="D698" s="58"/>
      <c r="E698" s="58">
        <f t="shared" si="205"/>
        <v>2452.56</v>
      </c>
      <c r="F698" s="138">
        <f t="shared" si="206"/>
        <v>2452.56</v>
      </c>
      <c r="G698" s="138"/>
      <c r="H698" s="138"/>
      <c r="I698" s="138">
        <v>817.99</v>
      </c>
      <c r="J698" s="138"/>
      <c r="K698" s="138">
        <v>34.57</v>
      </c>
      <c r="L698" s="138"/>
      <c r="M698" s="138"/>
      <c r="N698" s="138"/>
      <c r="O698" s="138"/>
      <c r="P698" s="138"/>
      <c r="Q698" s="138">
        <v>1600</v>
      </c>
      <c r="R698" s="138"/>
      <c r="S698" s="137"/>
    </row>
    <row r="699" spans="1:34" x14ac:dyDescent="0.25">
      <c r="A699" s="59" t="s">
        <v>57</v>
      </c>
      <c r="B699" s="77">
        <v>4720.01</v>
      </c>
      <c r="C699" s="127"/>
      <c r="D699" s="58"/>
      <c r="E699" s="58">
        <f t="shared" si="205"/>
        <v>4720.01</v>
      </c>
      <c r="F699" s="138">
        <f t="shared" si="206"/>
        <v>4720.01</v>
      </c>
      <c r="G699" s="138">
        <v>0</v>
      </c>
      <c r="H699" s="138">
        <v>1820.01</v>
      </c>
      <c r="I699" s="138">
        <v>2900</v>
      </c>
      <c r="J699" s="138">
        <v>0</v>
      </c>
      <c r="K699" s="138">
        <v>0</v>
      </c>
      <c r="L699" s="138">
        <v>0</v>
      </c>
      <c r="M699" s="138">
        <v>0</v>
      </c>
      <c r="N699" s="138">
        <v>0</v>
      </c>
      <c r="O699" s="138">
        <v>0</v>
      </c>
      <c r="P699" s="138">
        <v>0</v>
      </c>
      <c r="Q699" s="138">
        <v>0</v>
      </c>
      <c r="R699" s="138">
        <v>0</v>
      </c>
      <c r="S699" s="137"/>
    </row>
    <row r="700" spans="1:34" s="3" customFormat="1" ht="11.25" customHeight="1" x14ac:dyDescent="0.15">
      <c r="A700" s="59" t="s">
        <v>66</v>
      </c>
      <c r="B700" s="128">
        <v>12160</v>
      </c>
      <c r="C700" s="129">
        <v>9519.7800000000007</v>
      </c>
      <c r="D700" s="58"/>
      <c r="E700" s="58">
        <f t="shared" si="205"/>
        <v>21679.78</v>
      </c>
      <c r="F700" s="138">
        <f t="shared" si="206"/>
        <v>21567.29</v>
      </c>
      <c r="G700" s="146">
        <v>0</v>
      </c>
      <c r="H700" s="142">
        <v>0</v>
      </c>
      <c r="I700" s="146">
        <v>0</v>
      </c>
      <c r="J700" s="146">
        <v>455.01</v>
      </c>
      <c r="K700" s="146">
        <v>10407</v>
      </c>
      <c r="L700" s="146">
        <v>583</v>
      </c>
      <c r="M700" s="146">
        <v>1400.32</v>
      </c>
      <c r="N700" s="146">
        <v>0</v>
      </c>
      <c r="O700" s="146">
        <v>1021.96</v>
      </c>
      <c r="P700" s="146">
        <v>0</v>
      </c>
      <c r="Q700" s="146">
        <v>7700</v>
      </c>
      <c r="R700" s="146">
        <v>0</v>
      </c>
      <c r="S700" s="140"/>
      <c r="T700" s="7"/>
      <c r="U700" s="8"/>
      <c r="V700" s="7"/>
      <c r="W700" s="8"/>
      <c r="X700" s="7"/>
      <c r="Y700" s="8"/>
      <c r="Z700" s="7"/>
      <c r="AA700" s="8"/>
      <c r="AB700" s="7"/>
      <c r="AC700" s="8"/>
      <c r="AD700" s="7"/>
      <c r="AE700" s="8"/>
      <c r="AF700" s="7"/>
      <c r="AG700" s="8"/>
      <c r="AH700" s="7"/>
    </row>
    <row r="701" spans="1:34" s="3" customFormat="1" ht="11.25" customHeight="1" x14ac:dyDescent="0.15">
      <c r="A701" s="59" t="s">
        <v>67</v>
      </c>
      <c r="B701" s="128">
        <v>10200</v>
      </c>
      <c r="C701" s="123">
        <v>1177.98</v>
      </c>
      <c r="D701" s="58"/>
      <c r="E701" s="58">
        <f t="shared" si="205"/>
        <v>11377.98</v>
      </c>
      <c r="F701" s="138">
        <f t="shared" si="206"/>
        <v>11324.58</v>
      </c>
      <c r="G701" s="146">
        <v>0</v>
      </c>
      <c r="H701" s="142">
        <v>837.9</v>
      </c>
      <c r="I701" s="146">
        <v>0</v>
      </c>
      <c r="J701" s="146">
        <v>180.68</v>
      </c>
      <c r="K701" s="146">
        <v>1360</v>
      </c>
      <c r="L701" s="146">
        <v>946</v>
      </c>
      <c r="M701" s="146">
        <v>0</v>
      </c>
      <c r="N701" s="146">
        <v>0</v>
      </c>
      <c r="O701" s="146">
        <v>0</v>
      </c>
      <c r="P701" s="146">
        <v>8000</v>
      </c>
      <c r="Q701" s="146">
        <v>0</v>
      </c>
      <c r="R701" s="146">
        <v>0</v>
      </c>
      <c r="S701" s="140"/>
      <c r="T701" s="7"/>
      <c r="U701" s="8"/>
      <c r="V701" s="7"/>
      <c r="W701" s="8"/>
      <c r="X701" s="7"/>
      <c r="Y701" s="8"/>
      <c r="Z701" s="7"/>
      <c r="AA701" s="8"/>
      <c r="AB701" s="7"/>
      <c r="AC701" s="8"/>
      <c r="AD701" s="7"/>
      <c r="AE701" s="8"/>
      <c r="AF701" s="7"/>
      <c r="AG701" s="8"/>
      <c r="AH701" s="7"/>
    </row>
    <row r="702" spans="1:34" x14ac:dyDescent="0.25">
      <c r="A702" s="59" t="s">
        <v>72</v>
      </c>
      <c r="B702" s="77">
        <v>5526.26</v>
      </c>
      <c r="C702" s="127"/>
      <c r="D702" s="58"/>
      <c r="E702" s="58">
        <f t="shared" si="205"/>
        <v>5526.26</v>
      </c>
      <c r="F702" s="138">
        <f t="shared" si="206"/>
        <v>5526.26</v>
      </c>
      <c r="G702" s="138">
        <v>0</v>
      </c>
      <c r="H702" s="138">
        <v>0</v>
      </c>
      <c r="I702" s="138">
        <v>0</v>
      </c>
      <c r="J702" s="138">
        <v>2181.2199999999998</v>
      </c>
      <c r="K702" s="138">
        <v>3345.04</v>
      </c>
      <c r="L702" s="138">
        <v>0</v>
      </c>
      <c r="M702" s="138">
        <v>0</v>
      </c>
      <c r="N702" s="138">
        <v>0</v>
      </c>
      <c r="O702" s="138">
        <v>0</v>
      </c>
      <c r="P702" s="138">
        <v>0</v>
      </c>
      <c r="Q702" s="138">
        <v>0</v>
      </c>
      <c r="R702" s="138">
        <v>0</v>
      </c>
      <c r="S702" s="137"/>
    </row>
    <row r="703" spans="1:34" x14ac:dyDescent="0.25">
      <c r="A703" s="59" t="s">
        <v>9</v>
      </c>
      <c r="B703" s="77">
        <v>6650</v>
      </c>
      <c r="C703" s="123">
        <v>16649.48</v>
      </c>
      <c r="D703" s="58"/>
      <c r="E703" s="58">
        <f t="shared" si="205"/>
        <v>23299.48</v>
      </c>
      <c r="F703" s="138">
        <f t="shared" si="206"/>
        <v>23299</v>
      </c>
      <c r="G703" s="138">
        <v>0</v>
      </c>
      <c r="H703" s="138">
        <v>0</v>
      </c>
      <c r="I703" s="138">
        <v>2069</v>
      </c>
      <c r="J703" s="138">
        <v>0</v>
      </c>
      <c r="K703" s="138">
        <f>4530-2500</f>
        <v>2030</v>
      </c>
      <c r="L703" s="138">
        <v>0</v>
      </c>
      <c r="M703" s="138">
        <v>0</v>
      </c>
      <c r="N703" s="138">
        <v>0</v>
      </c>
      <c r="O703" s="138">
        <v>0</v>
      </c>
      <c r="P703" s="138">
        <v>19200</v>
      </c>
      <c r="Q703" s="138">
        <v>0</v>
      </c>
      <c r="R703" s="138">
        <v>0</v>
      </c>
      <c r="S703" s="137"/>
    </row>
    <row r="704" spans="1:34" x14ac:dyDescent="0.25">
      <c r="A704" s="59" t="s">
        <v>73</v>
      </c>
      <c r="B704" s="77">
        <v>7045</v>
      </c>
      <c r="C704" s="127"/>
      <c r="D704" s="58"/>
      <c r="E704" s="58">
        <f t="shared" si="205"/>
        <v>7045</v>
      </c>
      <c r="F704" s="138">
        <f t="shared" si="206"/>
        <v>8107.08</v>
      </c>
      <c r="G704" s="138">
        <v>0</v>
      </c>
      <c r="H704" s="138">
        <v>0</v>
      </c>
      <c r="I704" s="138">
        <v>0</v>
      </c>
      <c r="J704" s="138">
        <v>0</v>
      </c>
      <c r="K704" s="138">
        <f>6328-1020.92</f>
        <v>5307.08</v>
      </c>
      <c r="L704" s="138">
        <v>0</v>
      </c>
      <c r="M704" s="138">
        <v>0</v>
      </c>
      <c r="N704" s="138">
        <v>0</v>
      </c>
      <c r="O704" s="138">
        <v>0</v>
      </c>
      <c r="P704" s="138">
        <v>2800</v>
      </c>
      <c r="Q704" s="138">
        <v>0</v>
      </c>
      <c r="R704" s="138">
        <v>0</v>
      </c>
      <c r="S704" s="137"/>
    </row>
    <row r="705" spans="1:19" x14ac:dyDescent="0.25">
      <c r="A705" s="59" t="s">
        <v>230</v>
      </c>
      <c r="B705" s="77">
        <v>2970</v>
      </c>
      <c r="C705" s="127"/>
      <c r="D705" s="58"/>
      <c r="E705" s="58">
        <f t="shared" si="205"/>
        <v>2970</v>
      </c>
      <c r="F705" s="138">
        <f t="shared" si="206"/>
        <v>2970</v>
      </c>
      <c r="G705" s="138">
        <v>0</v>
      </c>
      <c r="H705" s="138">
        <v>0</v>
      </c>
      <c r="I705" s="138">
        <v>0</v>
      </c>
      <c r="J705" s="138">
        <v>0</v>
      </c>
      <c r="K705" s="138">
        <v>0</v>
      </c>
      <c r="L705" s="138">
        <v>534</v>
      </c>
      <c r="M705" s="138">
        <v>0</v>
      </c>
      <c r="N705" s="138">
        <v>0</v>
      </c>
      <c r="O705" s="138">
        <v>2436</v>
      </c>
      <c r="P705" s="138">
        <v>0</v>
      </c>
      <c r="Q705" s="138">
        <v>0</v>
      </c>
      <c r="R705" s="138">
        <v>0</v>
      </c>
      <c r="S705" s="137"/>
    </row>
    <row r="706" spans="1:19" x14ac:dyDescent="0.25">
      <c r="A706" s="59" t="s">
        <v>74</v>
      </c>
      <c r="B706" s="77">
        <f>419734-C706+33538.66</f>
        <v>233425.69</v>
      </c>
      <c r="C706" s="123">
        <v>219846.97</v>
      </c>
      <c r="D706" s="58"/>
      <c r="E706" s="58">
        <f t="shared" si="205"/>
        <v>453272.66000000003</v>
      </c>
      <c r="F706" s="138">
        <f t="shared" si="206"/>
        <v>453272.66000000009</v>
      </c>
      <c r="G706" s="138">
        <v>0</v>
      </c>
      <c r="H706" s="138">
        <v>2500</v>
      </c>
      <c r="I706" s="138">
        <v>2174.21</v>
      </c>
      <c r="J706" s="138">
        <v>435</v>
      </c>
      <c r="K706" s="138">
        <v>72777.960000000006</v>
      </c>
      <c r="L706" s="138">
        <f>613138.16-367278.85</f>
        <v>245859.31000000006</v>
      </c>
      <c r="M706" s="138">
        <v>0</v>
      </c>
      <c r="N706" s="138">
        <v>0</v>
      </c>
      <c r="O706" s="138">
        <f>172533.94-43007.76</f>
        <v>129526.18</v>
      </c>
      <c r="P706" s="138">
        <v>0</v>
      </c>
      <c r="Q706" s="138">
        <v>0</v>
      </c>
      <c r="R706" s="138">
        <v>0</v>
      </c>
      <c r="S706" s="137"/>
    </row>
    <row r="707" spans="1:19" x14ac:dyDescent="0.25">
      <c r="A707" s="59" t="s">
        <v>62</v>
      </c>
      <c r="B707" s="77">
        <f>187685-C707+1182.93</f>
        <v>32195.109999999993</v>
      </c>
      <c r="C707" s="123">
        <v>156672.82</v>
      </c>
      <c r="D707" s="58"/>
      <c r="E707" s="58">
        <f t="shared" si="205"/>
        <v>188867.93</v>
      </c>
      <c r="F707" s="138">
        <f t="shared" si="206"/>
        <v>188867.93</v>
      </c>
      <c r="G707" s="138">
        <v>0</v>
      </c>
      <c r="H707" s="138">
        <v>3420.56</v>
      </c>
      <c r="I707" s="138">
        <v>1373.44</v>
      </c>
      <c r="J707" s="138">
        <v>15336.5</v>
      </c>
      <c r="K707" s="138">
        <v>10212</v>
      </c>
      <c r="L707" s="138">
        <v>3453.76</v>
      </c>
      <c r="M707" s="138">
        <v>32134.639999999999</v>
      </c>
      <c r="N707" s="138">
        <v>30437.03</v>
      </c>
      <c r="O707" s="138">
        <v>0</v>
      </c>
      <c r="P707" s="138">
        <v>0</v>
      </c>
      <c r="Q707" s="138">
        <v>92500</v>
      </c>
      <c r="R707" s="138">
        <v>0</v>
      </c>
      <c r="S707" s="137"/>
    </row>
    <row r="708" spans="1:19" x14ac:dyDescent="0.25">
      <c r="A708" s="59" t="s">
        <v>10</v>
      </c>
      <c r="B708" s="77">
        <f>147495-C708+17810</f>
        <v>121755</v>
      </c>
      <c r="C708" s="127">
        <v>43550</v>
      </c>
      <c r="D708" s="58"/>
      <c r="E708" s="58">
        <f t="shared" si="205"/>
        <v>165305</v>
      </c>
      <c r="F708" s="138">
        <f t="shared" si="206"/>
        <v>165305</v>
      </c>
      <c r="G708" s="138">
        <v>0</v>
      </c>
      <c r="H708" s="138">
        <v>0</v>
      </c>
      <c r="I708" s="138">
        <v>0</v>
      </c>
      <c r="J708" s="138">
        <v>481</v>
      </c>
      <c r="K708" s="138">
        <v>20232</v>
      </c>
      <c r="L708" s="138">
        <v>23200</v>
      </c>
      <c r="M708" s="138">
        <v>20232</v>
      </c>
      <c r="N708" s="138">
        <v>20232</v>
      </c>
      <c r="O708" s="138">
        <v>20232</v>
      </c>
      <c r="P708" s="138">
        <v>20232</v>
      </c>
      <c r="Q708" s="138">
        <v>20232</v>
      </c>
      <c r="R708" s="138">
        <v>20232</v>
      </c>
      <c r="S708" s="137"/>
    </row>
    <row r="709" spans="1:19" x14ac:dyDescent="0.25">
      <c r="A709" s="59" t="s">
        <v>231</v>
      </c>
      <c r="B709" s="77">
        <v>2241</v>
      </c>
      <c r="C709" s="127"/>
      <c r="D709" s="58"/>
      <c r="E709" s="58">
        <f t="shared" ref="E709" si="207">+B709+C709+D709</f>
        <v>2241</v>
      </c>
      <c r="F709" s="138">
        <f t="shared" ref="F709" si="208">SUM(G709:R709)</f>
        <v>2241</v>
      </c>
      <c r="G709" s="138">
        <v>0</v>
      </c>
      <c r="H709" s="138">
        <v>0</v>
      </c>
      <c r="I709" s="138">
        <v>0</v>
      </c>
      <c r="J709" s="138">
        <v>0</v>
      </c>
      <c r="K709" s="138">
        <v>0</v>
      </c>
      <c r="L709" s="138">
        <v>153</v>
      </c>
      <c r="M709" s="138">
        <v>2088</v>
      </c>
      <c r="N709" s="138">
        <v>0</v>
      </c>
      <c r="O709" s="138">
        <v>0</v>
      </c>
      <c r="P709" s="138">
        <v>0</v>
      </c>
      <c r="Q709" s="138">
        <v>0</v>
      </c>
      <c r="R709" s="138">
        <v>0</v>
      </c>
      <c r="S709" s="137"/>
    </row>
    <row r="710" spans="1:19" x14ac:dyDescent="0.25">
      <c r="A710" s="87" t="s">
        <v>68</v>
      </c>
      <c r="B710" s="128">
        <f>178239-C710-24700.96</f>
        <v>146763.64000000001</v>
      </c>
      <c r="C710" s="123">
        <v>6774.4</v>
      </c>
      <c r="D710" s="50"/>
      <c r="E710" s="58">
        <f>+B710+C710+D710</f>
        <v>153538.04</v>
      </c>
      <c r="F710" s="138">
        <f t="shared" si="206"/>
        <v>153532.04</v>
      </c>
      <c r="G710" s="138">
        <v>0</v>
      </c>
      <c r="H710" s="138">
        <v>0</v>
      </c>
      <c r="I710" s="138">
        <v>0</v>
      </c>
      <c r="J710" s="138">
        <v>0</v>
      </c>
      <c r="K710" s="138">
        <v>7643.24</v>
      </c>
      <c r="L710" s="138">
        <v>20400</v>
      </c>
      <c r="M710" s="138">
        <v>0</v>
      </c>
      <c r="N710" s="138">
        <v>6124.8</v>
      </c>
      <c r="O710" s="138">
        <v>119364</v>
      </c>
      <c r="P710" s="138">
        <v>0</v>
      </c>
      <c r="Q710" s="138">
        <v>0</v>
      </c>
      <c r="R710" s="138">
        <v>0</v>
      </c>
      <c r="S710" s="137"/>
    </row>
    <row r="711" spans="1:19" x14ac:dyDescent="0.25">
      <c r="A711" s="59" t="s">
        <v>40</v>
      </c>
      <c r="B711" s="77">
        <v>316</v>
      </c>
      <c r="C711" s="127"/>
      <c r="D711" s="58"/>
      <c r="E711" s="58">
        <f t="shared" si="205"/>
        <v>316</v>
      </c>
      <c r="F711" s="138">
        <f t="shared" si="206"/>
        <v>316.9699999999998</v>
      </c>
      <c r="G711" s="138">
        <v>0</v>
      </c>
      <c r="H711" s="138">
        <v>0</v>
      </c>
      <c r="I711" s="138">
        <v>0</v>
      </c>
      <c r="J711" s="138">
        <v>0</v>
      </c>
      <c r="K711" s="138">
        <f>3272.25-2955.28</f>
        <v>316.9699999999998</v>
      </c>
      <c r="L711" s="138">
        <v>0</v>
      </c>
      <c r="M711" s="138">
        <v>0</v>
      </c>
      <c r="N711" s="138">
        <v>0</v>
      </c>
      <c r="O711" s="138">
        <v>0</v>
      </c>
      <c r="P711" s="138">
        <v>0</v>
      </c>
      <c r="Q711" s="138">
        <v>0</v>
      </c>
      <c r="R711" s="138">
        <v>0</v>
      </c>
      <c r="S711" s="137"/>
    </row>
    <row r="712" spans="1:19" x14ac:dyDescent="0.25">
      <c r="A712" s="59" t="s">
        <v>63</v>
      </c>
      <c r="B712" s="77">
        <v>812.95</v>
      </c>
      <c r="C712" s="127"/>
      <c r="D712" s="58"/>
      <c r="E712" s="58">
        <f t="shared" si="205"/>
        <v>812.95</v>
      </c>
      <c r="F712" s="138">
        <f t="shared" si="206"/>
        <v>812.95</v>
      </c>
      <c r="G712" s="138">
        <v>0</v>
      </c>
      <c r="H712" s="138">
        <v>0</v>
      </c>
      <c r="I712" s="138">
        <v>0</v>
      </c>
      <c r="J712" s="138">
        <v>0</v>
      </c>
      <c r="K712" s="138">
        <v>469</v>
      </c>
      <c r="L712" s="138">
        <v>0</v>
      </c>
      <c r="M712" s="138">
        <v>131.94999999999999</v>
      </c>
      <c r="N712" s="138">
        <v>212</v>
      </c>
      <c r="O712" s="138">
        <v>0</v>
      </c>
      <c r="P712" s="138">
        <v>0</v>
      </c>
      <c r="Q712" s="138">
        <v>0</v>
      </c>
      <c r="R712" s="138">
        <v>0</v>
      </c>
      <c r="S712" s="137"/>
    </row>
    <row r="713" spans="1:19" x14ac:dyDescent="0.25">
      <c r="A713" s="59" t="s">
        <v>64</v>
      </c>
      <c r="B713" s="77">
        <v>848</v>
      </c>
      <c r="C713" s="127"/>
      <c r="D713" s="58"/>
      <c r="E713" s="58">
        <f t="shared" si="205"/>
        <v>848</v>
      </c>
      <c r="F713" s="138">
        <f t="shared" si="206"/>
        <v>848</v>
      </c>
      <c r="G713" s="138">
        <v>0</v>
      </c>
      <c r="H713" s="138">
        <v>0</v>
      </c>
      <c r="I713" s="138">
        <v>0</v>
      </c>
      <c r="J713" s="138">
        <v>0</v>
      </c>
      <c r="K713" s="138">
        <v>848</v>
      </c>
      <c r="L713" s="138">
        <v>0</v>
      </c>
      <c r="M713" s="138">
        <v>0</v>
      </c>
      <c r="N713" s="138">
        <v>0</v>
      </c>
      <c r="O713" s="138">
        <v>0</v>
      </c>
      <c r="P713" s="138">
        <v>0</v>
      </c>
      <c r="Q713" s="138">
        <v>0</v>
      </c>
      <c r="R713" s="138">
        <v>0</v>
      </c>
      <c r="S713" s="137"/>
    </row>
    <row r="714" spans="1:19" x14ac:dyDescent="0.25">
      <c r="A714" s="59" t="s">
        <v>232</v>
      </c>
      <c r="B714" s="77">
        <v>653</v>
      </c>
      <c r="C714" s="127"/>
      <c r="D714" s="58"/>
      <c r="E714" s="58">
        <f t="shared" ref="E714" si="209">+B714+C714+D714</f>
        <v>653</v>
      </c>
      <c r="F714" s="138">
        <f t="shared" ref="F714" si="210">SUM(G714:R714)</f>
        <v>653</v>
      </c>
      <c r="G714" s="138">
        <v>0</v>
      </c>
      <c r="H714" s="138">
        <v>0</v>
      </c>
      <c r="I714" s="138">
        <v>0</v>
      </c>
      <c r="J714" s="138">
        <v>0</v>
      </c>
      <c r="K714" s="138">
        <f>1697-1044</f>
        <v>653</v>
      </c>
      <c r="L714" s="138">
        <v>0</v>
      </c>
      <c r="M714" s="138">
        <v>0</v>
      </c>
      <c r="N714" s="138">
        <v>0</v>
      </c>
      <c r="O714" s="138">
        <v>0</v>
      </c>
      <c r="P714" s="138">
        <v>0</v>
      </c>
      <c r="Q714" s="138">
        <v>0</v>
      </c>
      <c r="R714" s="138">
        <v>0</v>
      </c>
      <c r="S714" s="137"/>
    </row>
    <row r="715" spans="1:19" x14ac:dyDescent="0.25">
      <c r="A715" s="59" t="s">
        <v>12</v>
      </c>
      <c r="B715" s="77">
        <f>11220-C715</f>
        <v>3227.1800000000003</v>
      </c>
      <c r="C715" s="123">
        <v>7992.82</v>
      </c>
      <c r="D715" s="58"/>
      <c r="E715" s="58">
        <f t="shared" si="205"/>
        <v>11220</v>
      </c>
      <c r="F715" s="138">
        <f t="shared" si="206"/>
        <v>11227.49</v>
      </c>
      <c r="G715" s="138">
        <v>0</v>
      </c>
      <c r="H715" s="138">
        <v>0</v>
      </c>
      <c r="I715" s="138">
        <v>890</v>
      </c>
      <c r="J715" s="138">
        <v>0</v>
      </c>
      <c r="K715" s="138">
        <f>4859-3300.49</f>
        <v>1558.5100000000002</v>
      </c>
      <c r="L715" s="138">
        <v>0</v>
      </c>
      <c r="M715" s="138">
        <v>27</v>
      </c>
      <c r="N715" s="138">
        <v>0</v>
      </c>
      <c r="O715" s="138">
        <v>751.98</v>
      </c>
      <c r="P715" s="138">
        <v>8000</v>
      </c>
      <c r="Q715" s="138">
        <v>0</v>
      </c>
      <c r="R715" s="138">
        <v>0</v>
      </c>
      <c r="S715" s="137"/>
    </row>
    <row r="716" spans="1:19" x14ac:dyDescent="0.25">
      <c r="A716" s="59" t="s">
        <v>13</v>
      </c>
      <c r="B716" s="77">
        <v>6630</v>
      </c>
      <c r="C716" s="127"/>
      <c r="D716" s="58"/>
      <c r="E716" s="58">
        <f t="shared" si="205"/>
        <v>6630</v>
      </c>
      <c r="F716" s="138">
        <f t="shared" si="206"/>
        <v>6629.6399999999994</v>
      </c>
      <c r="G716" s="138">
        <v>0</v>
      </c>
      <c r="H716" s="138">
        <v>424</v>
      </c>
      <c r="I716" s="138">
        <v>860</v>
      </c>
      <c r="J716" s="138">
        <v>0</v>
      </c>
      <c r="K716" s="138">
        <v>0</v>
      </c>
      <c r="L716" s="138">
        <v>195.64</v>
      </c>
      <c r="M716" s="138">
        <v>0</v>
      </c>
      <c r="N716" s="138">
        <v>0</v>
      </c>
      <c r="O716" s="138">
        <v>0</v>
      </c>
      <c r="P716" s="138">
        <v>5150</v>
      </c>
      <c r="Q716" s="138">
        <v>0</v>
      </c>
      <c r="R716" s="138">
        <v>0</v>
      </c>
      <c r="S716" s="137"/>
    </row>
    <row r="717" spans="1:19" x14ac:dyDescent="0.25">
      <c r="A717" s="59" t="s">
        <v>69</v>
      </c>
      <c r="B717" s="128">
        <v>2550</v>
      </c>
      <c r="C717" s="129"/>
      <c r="D717" s="58"/>
      <c r="E717" s="58">
        <f>+B717+C717+D717</f>
        <v>2550</v>
      </c>
      <c r="F717" s="138">
        <f t="shared" si="206"/>
        <v>2550</v>
      </c>
      <c r="G717" s="138">
        <v>0</v>
      </c>
      <c r="H717" s="138">
        <v>242</v>
      </c>
      <c r="I717" s="138">
        <v>0</v>
      </c>
      <c r="J717" s="138">
        <v>154</v>
      </c>
      <c r="K717" s="138">
        <v>924</v>
      </c>
      <c r="L717" s="138">
        <v>0</v>
      </c>
      <c r="M717" s="138">
        <v>0</v>
      </c>
      <c r="N717" s="138">
        <v>0</v>
      </c>
      <c r="O717" s="138">
        <v>0</v>
      </c>
      <c r="P717" s="138">
        <v>1230</v>
      </c>
      <c r="Q717" s="138">
        <v>0</v>
      </c>
      <c r="R717" s="138">
        <v>0</v>
      </c>
      <c r="S717" s="137"/>
    </row>
    <row r="718" spans="1:19" x14ac:dyDescent="0.25">
      <c r="A718" s="87" t="s">
        <v>70</v>
      </c>
      <c r="B718" s="128">
        <v>46197</v>
      </c>
      <c r="C718" s="127"/>
      <c r="D718" s="50"/>
      <c r="E718" s="58">
        <f>+B718+C718+D718</f>
        <v>46197</v>
      </c>
      <c r="F718" s="138">
        <f t="shared" si="206"/>
        <v>46713.16</v>
      </c>
      <c r="G718" s="138">
        <v>0</v>
      </c>
      <c r="H718" s="138">
        <v>0</v>
      </c>
      <c r="I718" s="138">
        <v>0</v>
      </c>
      <c r="J718" s="138">
        <v>0</v>
      </c>
      <c r="K718" s="138">
        <f>15600-12687.84</f>
        <v>2912.16</v>
      </c>
      <c r="L718" s="138">
        <v>0</v>
      </c>
      <c r="M718" s="138">
        <v>23231</v>
      </c>
      <c r="N718" s="138">
        <v>0</v>
      </c>
      <c r="O718" s="138">
        <v>10680</v>
      </c>
      <c r="P718" s="138">
        <v>9890</v>
      </c>
      <c r="Q718" s="138">
        <v>0</v>
      </c>
      <c r="R718" s="138">
        <v>0</v>
      </c>
      <c r="S718" s="137"/>
    </row>
    <row r="719" spans="1:19" x14ac:dyDescent="0.25">
      <c r="A719" s="59" t="s">
        <v>36</v>
      </c>
      <c r="B719" s="77">
        <v>6197</v>
      </c>
      <c r="C719" s="77"/>
      <c r="D719" s="58"/>
      <c r="E719" s="58">
        <f t="shared" si="205"/>
        <v>6197</v>
      </c>
      <c r="F719" s="138">
        <f t="shared" si="206"/>
        <v>6197</v>
      </c>
      <c r="G719" s="138">
        <v>0</v>
      </c>
      <c r="H719" s="138">
        <v>0</v>
      </c>
      <c r="I719" s="138">
        <v>101</v>
      </c>
      <c r="J719" s="138">
        <v>0</v>
      </c>
      <c r="K719" s="138">
        <v>4096</v>
      </c>
      <c r="L719" s="138">
        <v>0</v>
      </c>
      <c r="M719" s="138">
        <v>0</v>
      </c>
      <c r="N719" s="138">
        <v>0</v>
      </c>
      <c r="O719" s="138">
        <v>0</v>
      </c>
      <c r="P719" s="138">
        <v>0</v>
      </c>
      <c r="Q719" s="138">
        <v>2000</v>
      </c>
      <c r="R719" s="138">
        <v>0</v>
      </c>
      <c r="S719" s="137"/>
    </row>
    <row r="720" spans="1:19" x14ac:dyDescent="0.25">
      <c r="A720" s="59" t="s">
        <v>5</v>
      </c>
      <c r="B720" s="58"/>
      <c r="C720" s="58"/>
      <c r="D720" s="58"/>
      <c r="E720" s="58">
        <f t="shared" si="205"/>
        <v>0</v>
      </c>
      <c r="F720" s="138">
        <f t="shared" si="206"/>
        <v>0</v>
      </c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7"/>
    </row>
    <row r="721" spans="1:19" x14ac:dyDescent="0.25">
      <c r="F721" s="138" t="s">
        <v>75</v>
      </c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7"/>
    </row>
    <row r="722" spans="1:19" ht="18.75" x14ac:dyDescent="0.4">
      <c r="A722" s="32" t="s">
        <v>111</v>
      </c>
      <c r="B722" s="40"/>
      <c r="C722" s="40"/>
      <c r="D722" s="40"/>
      <c r="E722" s="51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7"/>
    </row>
    <row r="723" spans="1:19" x14ac:dyDescent="0.25">
      <c r="A723" s="59"/>
      <c r="B723" s="58"/>
      <c r="C723" s="58"/>
      <c r="D723" s="58"/>
      <c r="E723" s="58">
        <f t="shared" ref="E723:E724" si="211">+B723+C723+D723</f>
        <v>0</v>
      </c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7"/>
    </row>
    <row r="724" spans="1:19" x14ac:dyDescent="0.25">
      <c r="A724" s="59"/>
      <c r="B724" s="58"/>
      <c r="C724" s="58"/>
      <c r="D724" s="58"/>
      <c r="E724" s="58">
        <f t="shared" si="211"/>
        <v>0</v>
      </c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7"/>
    </row>
    <row r="725" spans="1:19" ht="18.75" x14ac:dyDescent="0.4">
      <c r="A725" s="32" t="s">
        <v>112</v>
      </c>
      <c r="B725" s="40"/>
      <c r="C725" s="40"/>
      <c r="D725" s="40"/>
      <c r="E725" s="51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7"/>
    </row>
    <row r="726" spans="1:19" x14ac:dyDescent="0.25">
      <c r="A726" s="60" t="s">
        <v>120</v>
      </c>
      <c r="B726" s="58">
        <v>39204</v>
      </c>
      <c r="C726" s="58"/>
      <c r="D726" s="58"/>
      <c r="E726" s="58">
        <f t="shared" ref="E726:E727" si="212">+B726+C726+D726</f>
        <v>39204</v>
      </c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7"/>
    </row>
    <row r="727" spans="1:19" x14ac:dyDescent="0.25">
      <c r="A727" s="60" t="s">
        <v>75</v>
      </c>
      <c r="B727" s="61">
        <v>0</v>
      </c>
      <c r="C727" s="58"/>
      <c r="D727" s="58"/>
      <c r="E727" s="58">
        <f t="shared" si="212"/>
        <v>0</v>
      </c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7"/>
    </row>
    <row r="728" spans="1:19" ht="18.75" x14ac:dyDescent="0.4">
      <c r="A728" s="34" t="s">
        <v>113</v>
      </c>
      <c r="B728" s="40"/>
      <c r="C728" s="40"/>
      <c r="D728" s="40"/>
      <c r="E728" s="51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7"/>
    </row>
    <row r="729" spans="1:19" x14ac:dyDescent="0.25">
      <c r="A729" s="87" t="s">
        <v>127</v>
      </c>
      <c r="B729" s="58">
        <v>0</v>
      </c>
      <c r="C729" s="58">
        <v>71215.299999999988</v>
      </c>
      <c r="D729" s="58"/>
      <c r="E729" s="58">
        <f t="shared" ref="E729:E730" si="213">+B729+C729+D729</f>
        <v>71215.299999999988</v>
      </c>
      <c r="F729" s="138">
        <f t="shared" ref="F729:F730" si="214">SUM(G729:R729)</f>
        <v>71215.299999999988</v>
      </c>
      <c r="G729" s="138">
        <v>0</v>
      </c>
      <c r="H729" s="138">
        <v>0</v>
      </c>
      <c r="I729" s="138">
        <v>0</v>
      </c>
      <c r="J729" s="138">
        <v>0</v>
      </c>
      <c r="K729" s="138">
        <v>49552.88</v>
      </c>
      <c r="L729" s="138">
        <v>21662.42</v>
      </c>
      <c r="M729" s="138">
        <v>0</v>
      </c>
      <c r="N729" s="138">
        <v>0</v>
      </c>
      <c r="O729" s="138">
        <v>0</v>
      </c>
      <c r="P729" s="138">
        <v>0</v>
      </c>
      <c r="Q729" s="138">
        <v>0</v>
      </c>
      <c r="R729" s="138">
        <v>0</v>
      </c>
      <c r="S729" s="137"/>
    </row>
    <row r="730" spans="1:19" x14ac:dyDescent="0.25">
      <c r="A730" s="59" t="s">
        <v>270</v>
      </c>
      <c r="B730" s="58">
        <v>0</v>
      </c>
      <c r="C730" s="58">
        <v>34157.199999999997</v>
      </c>
      <c r="D730" s="58"/>
      <c r="E730" s="58">
        <f t="shared" si="213"/>
        <v>34157.199999999997</v>
      </c>
      <c r="F730" s="138">
        <f t="shared" si="214"/>
        <v>34157.199999999997</v>
      </c>
      <c r="G730" s="138">
        <v>0</v>
      </c>
      <c r="H730" s="138">
        <v>0</v>
      </c>
      <c r="I730" s="138">
        <v>0</v>
      </c>
      <c r="J730" s="138">
        <v>0</v>
      </c>
      <c r="K730" s="138">
        <v>0</v>
      </c>
      <c r="L730" s="138">
        <v>34157.199999999997</v>
      </c>
      <c r="M730" s="138">
        <v>0</v>
      </c>
      <c r="N730" s="138">
        <v>0</v>
      </c>
      <c r="O730" s="138">
        <v>0</v>
      </c>
      <c r="P730" s="138">
        <v>0</v>
      </c>
      <c r="Q730" s="138">
        <v>0</v>
      </c>
      <c r="R730" s="138">
        <v>0</v>
      </c>
      <c r="S730" s="137"/>
    </row>
    <row r="731" spans="1:19" x14ac:dyDescent="0.25">
      <c r="F731" s="138" t="s">
        <v>75</v>
      </c>
      <c r="G731" s="138" t="s">
        <v>75</v>
      </c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7"/>
    </row>
    <row r="732" spans="1:19" x14ac:dyDescent="0.25"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7"/>
    </row>
    <row r="733" spans="1:19" ht="18.75" x14ac:dyDescent="0.4">
      <c r="A733" s="169" t="s">
        <v>103</v>
      </c>
      <c r="B733" s="169"/>
      <c r="C733" s="169"/>
      <c r="D733" s="169"/>
      <c r="E733" s="169"/>
      <c r="F733" s="150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7"/>
    </row>
    <row r="734" spans="1:19" x14ac:dyDescent="0.25">
      <c r="A734" s="2" t="s">
        <v>75</v>
      </c>
      <c r="B734" s="39"/>
      <c r="C734" s="48"/>
      <c r="D734" s="39"/>
      <c r="E734" s="39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7"/>
    </row>
    <row r="735" spans="1:19" ht="30" x14ac:dyDescent="0.25">
      <c r="A735" s="33" t="s">
        <v>105</v>
      </c>
      <c r="B735" s="38" t="s">
        <v>106</v>
      </c>
      <c r="C735" s="38" t="s">
        <v>107</v>
      </c>
      <c r="D735" s="38" t="s">
        <v>108</v>
      </c>
      <c r="E735" s="38" t="s">
        <v>109</v>
      </c>
      <c r="F735" s="138"/>
      <c r="G735" s="38" t="s">
        <v>192</v>
      </c>
      <c r="H735" s="38" t="s">
        <v>193</v>
      </c>
      <c r="I735" s="38" t="s">
        <v>194</v>
      </c>
      <c r="J735" s="38" t="s">
        <v>195</v>
      </c>
      <c r="K735" s="38" t="s">
        <v>196</v>
      </c>
      <c r="L735" s="38" t="s">
        <v>197</v>
      </c>
      <c r="M735" s="38" t="s">
        <v>198</v>
      </c>
      <c r="N735" s="38" t="s">
        <v>199</v>
      </c>
      <c r="O735" s="38" t="s">
        <v>200</v>
      </c>
      <c r="P735" s="38" t="s">
        <v>201</v>
      </c>
      <c r="Q735" s="38" t="s">
        <v>202</v>
      </c>
      <c r="R735" s="38" t="s">
        <v>203</v>
      </c>
      <c r="S735" s="137"/>
    </row>
    <row r="736" spans="1:19" ht="18.75" x14ac:dyDescent="0.4">
      <c r="A736" s="32" t="s">
        <v>110</v>
      </c>
      <c r="B736" s="37">
        <f>SUM(B737:B782)</f>
        <v>917064.4800000001</v>
      </c>
      <c r="C736" s="37">
        <f t="shared" ref="C736:E736" si="215">SUM(C737:C782)</f>
        <v>295137.46999999997</v>
      </c>
      <c r="D736" s="37">
        <f t="shared" si="215"/>
        <v>0</v>
      </c>
      <c r="E736" s="37">
        <f t="shared" si="215"/>
        <v>1212201.9499999997</v>
      </c>
      <c r="F736" s="138">
        <f>+C756-F756</f>
        <v>-91753</v>
      </c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7"/>
    </row>
    <row r="737" spans="1:19" x14ac:dyDescent="0.25">
      <c r="A737" s="59" t="s">
        <v>1</v>
      </c>
      <c r="B737" s="52">
        <v>34451.11</v>
      </c>
      <c r="C737" s="58">
        <v>18637.09</v>
      </c>
      <c r="D737" s="58"/>
      <c r="E737" s="58">
        <f t="shared" ref="E737:E769" si="216">+B737+C737+D737</f>
        <v>53088.2</v>
      </c>
      <c r="F737" s="138">
        <f t="shared" ref="F737:F769" si="217">SUM(G737:R737)</f>
        <v>53088.200000000004</v>
      </c>
      <c r="G737" s="138">
        <v>0</v>
      </c>
      <c r="H737" s="138">
        <v>115.79</v>
      </c>
      <c r="I737" s="138">
        <v>1653.64</v>
      </c>
      <c r="J737" s="138">
        <v>7652.64</v>
      </c>
      <c r="K737" s="138">
        <v>8079</v>
      </c>
      <c r="L737" s="138">
        <v>333</v>
      </c>
      <c r="M737" s="138">
        <v>12447.26</v>
      </c>
      <c r="N737" s="138">
        <v>9934.8700000000008</v>
      </c>
      <c r="O737" s="138">
        <v>0</v>
      </c>
      <c r="P737" s="138">
        <v>8975</v>
      </c>
      <c r="Q737" s="138">
        <v>3897</v>
      </c>
      <c r="R737" s="138">
        <v>0</v>
      </c>
      <c r="S737" s="137"/>
    </row>
    <row r="738" spans="1:19" x14ac:dyDescent="0.25">
      <c r="A738" s="59" t="s">
        <v>2</v>
      </c>
      <c r="B738" s="52">
        <v>1587</v>
      </c>
      <c r="C738" s="52"/>
      <c r="D738" s="58"/>
      <c r="E738" s="58">
        <f t="shared" si="216"/>
        <v>1587</v>
      </c>
      <c r="F738" s="138">
        <f t="shared" si="217"/>
        <v>1587</v>
      </c>
      <c r="G738" s="138">
        <v>0</v>
      </c>
      <c r="H738" s="138">
        <v>0</v>
      </c>
      <c r="I738" s="138">
        <v>0</v>
      </c>
      <c r="J738" s="138">
        <v>0</v>
      </c>
      <c r="K738" s="138">
        <v>600</v>
      </c>
      <c r="L738" s="138">
        <v>0</v>
      </c>
      <c r="M738" s="138">
        <v>0</v>
      </c>
      <c r="N738" s="138">
        <v>0</v>
      </c>
      <c r="O738" s="138">
        <v>0</v>
      </c>
      <c r="P738" s="138">
        <v>987</v>
      </c>
      <c r="Q738" s="138">
        <v>0</v>
      </c>
      <c r="R738" s="138">
        <v>0</v>
      </c>
      <c r="S738" s="137"/>
    </row>
    <row r="739" spans="1:19" x14ac:dyDescent="0.25">
      <c r="A739" s="59" t="s">
        <v>53</v>
      </c>
      <c r="B739" s="58">
        <v>7350</v>
      </c>
      <c r="C739" s="58"/>
      <c r="D739" s="58"/>
      <c r="E739" s="58">
        <f>+B739+C739+D739</f>
        <v>7350</v>
      </c>
      <c r="F739" s="138">
        <f t="shared" si="217"/>
        <v>7350</v>
      </c>
      <c r="G739" s="138">
        <v>0</v>
      </c>
      <c r="H739" s="138">
        <v>0</v>
      </c>
      <c r="I739" s="138">
        <v>0</v>
      </c>
      <c r="J739" s="138">
        <v>0</v>
      </c>
      <c r="K739" s="138"/>
      <c r="L739" s="138">
        <v>0</v>
      </c>
      <c r="M739" s="138">
        <v>0</v>
      </c>
      <c r="N739" s="138">
        <v>0</v>
      </c>
      <c r="O739" s="138">
        <v>0</v>
      </c>
      <c r="P739" s="138">
        <v>7350</v>
      </c>
      <c r="Q739" s="138">
        <v>0</v>
      </c>
      <c r="R739" s="138">
        <v>0</v>
      </c>
      <c r="S739" s="137"/>
    </row>
    <row r="740" spans="1:19" x14ac:dyDescent="0.25">
      <c r="A740" s="59" t="s">
        <v>3</v>
      </c>
      <c r="B740" s="52">
        <v>48866.02</v>
      </c>
      <c r="C740" s="52">
        <v>19379.02</v>
      </c>
      <c r="D740" s="58"/>
      <c r="E740" s="58">
        <f t="shared" si="216"/>
        <v>68245.039999999994</v>
      </c>
      <c r="F740" s="138">
        <f t="shared" si="217"/>
        <v>68245.040000000008</v>
      </c>
      <c r="G740" s="138">
        <v>0</v>
      </c>
      <c r="H740" s="138">
        <v>0</v>
      </c>
      <c r="I740" s="138">
        <v>359</v>
      </c>
      <c r="J740" s="138">
        <v>0</v>
      </c>
      <c r="K740" s="138">
        <v>14836</v>
      </c>
      <c r="L740" s="138">
        <v>1958</v>
      </c>
      <c r="M740" s="138">
        <v>2401.5700000000002</v>
      </c>
      <c r="N740" s="138">
        <v>8205.4699999999993</v>
      </c>
      <c r="O740" s="138">
        <v>4890</v>
      </c>
      <c r="P740" s="138">
        <v>9725</v>
      </c>
      <c r="Q740" s="138">
        <v>25870</v>
      </c>
      <c r="R740" s="138">
        <v>0</v>
      </c>
      <c r="S740" s="137"/>
    </row>
    <row r="741" spans="1:19" x14ac:dyDescent="0.25">
      <c r="A741" s="59" t="s">
        <v>54</v>
      </c>
      <c r="B741" s="58">
        <v>52300</v>
      </c>
      <c r="C741" s="58"/>
      <c r="D741" s="58"/>
      <c r="E741" s="58">
        <f t="shared" si="216"/>
        <v>52300</v>
      </c>
      <c r="F741" s="138">
        <f t="shared" si="217"/>
        <v>52300</v>
      </c>
      <c r="G741" s="138">
        <v>0</v>
      </c>
      <c r="H741" s="138">
        <v>0</v>
      </c>
      <c r="I741" s="138">
        <v>0</v>
      </c>
      <c r="J741" s="138">
        <v>0</v>
      </c>
      <c r="K741" s="138">
        <v>0</v>
      </c>
      <c r="L741" s="138">
        <v>0</v>
      </c>
      <c r="M741" s="138">
        <v>0</v>
      </c>
      <c r="N741" s="138">
        <v>0</v>
      </c>
      <c r="O741" s="138">
        <v>0</v>
      </c>
      <c r="P741" s="138">
        <v>52300</v>
      </c>
      <c r="Q741" s="138">
        <v>0</v>
      </c>
      <c r="R741" s="138">
        <v>0</v>
      </c>
      <c r="S741" s="137"/>
    </row>
    <row r="742" spans="1:19" x14ac:dyDescent="0.25">
      <c r="A742" s="59" t="s">
        <v>254</v>
      </c>
      <c r="B742" s="58">
        <v>55361.479999999996</v>
      </c>
      <c r="C742" s="58"/>
      <c r="D742" s="58"/>
      <c r="E742" s="58">
        <f t="shared" ref="E742:E768" si="218">+B742+C742+D742</f>
        <v>55361.479999999996</v>
      </c>
      <c r="F742" s="138">
        <f t="shared" ref="F742:F768" si="219">SUM(G742:R742)</f>
        <v>55361.479999999996</v>
      </c>
      <c r="G742" s="138">
        <v>0</v>
      </c>
      <c r="H742" s="138">
        <v>0</v>
      </c>
      <c r="I742" s="138">
        <v>0</v>
      </c>
      <c r="J742" s="138">
        <v>18102.28</v>
      </c>
      <c r="K742" s="138">
        <v>0</v>
      </c>
      <c r="L742" s="138">
        <v>290</v>
      </c>
      <c r="M742" s="138">
        <v>0</v>
      </c>
      <c r="N742" s="138">
        <v>6844</v>
      </c>
      <c r="O742" s="138">
        <v>30125.200000000001</v>
      </c>
      <c r="P742" s="138">
        <v>0</v>
      </c>
      <c r="Q742" s="138">
        <v>0</v>
      </c>
      <c r="R742" s="138">
        <v>0</v>
      </c>
      <c r="S742" s="137"/>
    </row>
    <row r="743" spans="1:19" x14ac:dyDescent="0.25">
      <c r="A743" s="59" t="s">
        <v>18</v>
      </c>
      <c r="B743" s="58">
        <v>464400.14</v>
      </c>
      <c r="C743" s="58">
        <v>151355.56</v>
      </c>
      <c r="D743" s="58"/>
      <c r="E743" s="58">
        <f t="shared" si="218"/>
        <v>615755.69999999995</v>
      </c>
      <c r="F743" s="138">
        <f t="shared" si="219"/>
        <v>615755.69999999984</v>
      </c>
      <c r="G743" s="138">
        <v>0</v>
      </c>
      <c r="H743" s="138">
        <v>0</v>
      </c>
      <c r="I743" s="138">
        <v>0</v>
      </c>
      <c r="J743" s="138">
        <v>4691.1499999999996</v>
      </c>
      <c r="K743" s="138">
        <v>156075.9</v>
      </c>
      <c r="L743" s="138">
        <f>765518.07-18983.43-27648.25-355665.03</f>
        <v>363221.35999999987</v>
      </c>
      <c r="M743" s="138">
        <v>5077.7700000000004</v>
      </c>
      <c r="N743" s="138">
        <v>12633.52</v>
      </c>
      <c r="O743" s="138">
        <v>0</v>
      </c>
      <c r="P743" s="138">
        <v>28970</v>
      </c>
      <c r="Q743" s="138">
        <v>12500</v>
      </c>
      <c r="R743" s="138">
        <v>32586</v>
      </c>
      <c r="S743" s="137"/>
    </row>
    <row r="744" spans="1:19" x14ac:dyDescent="0.25">
      <c r="A744" s="59" t="s">
        <v>224</v>
      </c>
      <c r="B744" s="58">
        <v>7329.5</v>
      </c>
      <c r="C744" s="40"/>
      <c r="D744" s="58"/>
      <c r="E744" s="58">
        <f t="shared" si="218"/>
        <v>7329.5</v>
      </c>
      <c r="F744" s="138">
        <f t="shared" si="219"/>
        <v>7329.5</v>
      </c>
      <c r="G744" s="138">
        <v>0</v>
      </c>
      <c r="H744" s="138">
        <v>0</v>
      </c>
      <c r="I744" s="138">
        <v>0</v>
      </c>
      <c r="J744" s="138">
        <v>0</v>
      </c>
      <c r="K744" s="138">
        <v>1817.5</v>
      </c>
      <c r="L744" s="138">
        <v>0</v>
      </c>
      <c r="M744" s="138">
        <v>2530</v>
      </c>
      <c r="N744" s="138">
        <v>0</v>
      </c>
      <c r="O744" s="138">
        <v>2982</v>
      </c>
      <c r="P744" s="138">
        <v>0</v>
      </c>
      <c r="Q744" s="138">
        <v>0</v>
      </c>
      <c r="R744" s="138">
        <v>0</v>
      </c>
      <c r="S744" s="137"/>
    </row>
    <row r="745" spans="1:19" x14ac:dyDescent="0.25">
      <c r="A745" s="59" t="s">
        <v>55</v>
      </c>
      <c r="B745" s="58">
        <v>18353.349999999999</v>
      </c>
      <c r="C745" s="93">
        <v>10503.8</v>
      </c>
      <c r="D745" s="58"/>
      <c r="E745" s="58">
        <f t="shared" si="218"/>
        <v>28857.149999999998</v>
      </c>
      <c r="F745" s="138">
        <f t="shared" si="219"/>
        <v>18353.349999999999</v>
      </c>
      <c r="G745" s="138">
        <v>0</v>
      </c>
      <c r="H745" s="138">
        <v>4528.1499999999996</v>
      </c>
      <c r="I745" s="138">
        <v>0</v>
      </c>
      <c r="J745" s="138">
        <v>0</v>
      </c>
      <c r="K745" s="138">
        <v>1000</v>
      </c>
      <c r="L745" s="138">
        <v>0</v>
      </c>
      <c r="M745" s="138">
        <v>3851.2</v>
      </c>
      <c r="N745" s="138">
        <v>0</v>
      </c>
      <c r="O745" s="138">
        <v>0</v>
      </c>
      <c r="P745" s="138">
        <v>0</v>
      </c>
      <c r="Q745" s="138">
        <v>8974</v>
      </c>
      <c r="R745" s="138">
        <v>0</v>
      </c>
      <c r="S745" s="137"/>
    </row>
    <row r="746" spans="1:19" x14ac:dyDescent="0.25">
      <c r="A746" s="59" t="s">
        <v>7</v>
      </c>
      <c r="B746" s="58">
        <v>12955.07</v>
      </c>
      <c r="C746" s="58"/>
      <c r="D746" s="58"/>
      <c r="E746" s="58">
        <f t="shared" si="218"/>
        <v>12955.07</v>
      </c>
      <c r="F746" s="138">
        <f t="shared" si="219"/>
        <v>12955.07</v>
      </c>
      <c r="G746" s="138">
        <v>0</v>
      </c>
      <c r="H746" s="138">
        <v>133.07</v>
      </c>
      <c r="I746" s="138">
        <v>81</v>
      </c>
      <c r="J746" s="138">
        <v>0</v>
      </c>
      <c r="K746" s="138">
        <v>4000</v>
      </c>
      <c r="L746" s="138">
        <v>0</v>
      </c>
      <c r="M746" s="138">
        <v>0</v>
      </c>
      <c r="N746" s="138">
        <v>0</v>
      </c>
      <c r="O746" s="138">
        <v>0</v>
      </c>
      <c r="P746" s="138">
        <v>0</v>
      </c>
      <c r="Q746" s="138">
        <v>8741</v>
      </c>
      <c r="R746" s="138">
        <v>0</v>
      </c>
      <c r="S746" s="137"/>
    </row>
    <row r="747" spans="1:19" x14ac:dyDescent="0.25">
      <c r="A747" s="59" t="s">
        <v>56</v>
      </c>
      <c r="B747" s="58">
        <v>2845</v>
      </c>
      <c r="C747" s="58"/>
      <c r="D747" s="58"/>
      <c r="E747" s="58">
        <f t="shared" si="218"/>
        <v>2845</v>
      </c>
      <c r="F747" s="138">
        <f t="shared" si="219"/>
        <v>2845</v>
      </c>
      <c r="G747" s="138">
        <v>0</v>
      </c>
      <c r="H747" s="138">
        <v>0</v>
      </c>
      <c r="I747" s="138">
        <v>1420</v>
      </c>
      <c r="J747" s="138">
        <v>1425</v>
      </c>
      <c r="K747" s="138">
        <v>0</v>
      </c>
      <c r="L747" s="138">
        <v>0</v>
      </c>
      <c r="M747" s="138">
        <v>0</v>
      </c>
      <c r="N747" s="138">
        <v>0</v>
      </c>
      <c r="O747" s="138">
        <v>0</v>
      </c>
      <c r="P747" s="138">
        <v>0</v>
      </c>
      <c r="Q747" s="138">
        <v>0</v>
      </c>
      <c r="R747" s="138">
        <v>0</v>
      </c>
      <c r="S747" s="137"/>
    </row>
    <row r="748" spans="1:19" x14ac:dyDescent="0.25">
      <c r="A748" s="59" t="s">
        <v>57</v>
      </c>
      <c r="B748" s="58">
        <v>0</v>
      </c>
      <c r="C748" s="58"/>
      <c r="D748" s="58"/>
      <c r="E748" s="58">
        <f t="shared" si="218"/>
        <v>0</v>
      </c>
      <c r="F748" s="138">
        <f t="shared" si="219"/>
        <v>0</v>
      </c>
      <c r="G748" s="138">
        <v>0</v>
      </c>
      <c r="H748" s="138">
        <v>0</v>
      </c>
      <c r="I748" s="138">
        <v>0</v>
      </c>
      <c r="J748" s="138">
        <v>0</v>
      </c>
      <c r="K748" s="138">
        <v>0</v>
      </c>
      <c r="L748" s="138">
        <v>0</v>
      </c>
      <c r="M748" s="138">
        <v>0</v>
      </c>
      <c r="N748" s="138">
        <v>0</v>
      </c>
      <c r="O748" s="138">
        <v>0</v>
      </c>
      <c r="P748" s="138">
        <v>0</v>
      </c>
      <c r="Q748" s="138">
        <v>0</v>
      </c>
      <c r="R748" s="138">
        <v>0</v>
      </c>
      <c r="S748" s="137"/>
    </row>
    <row r="749" spans="1:19" x14ac:dyDescent="0.25">
      <c r="A749" s="59" t="s">
        <v>58</v>
      </c>
      <c r="B749" s="58">
        <v>5838.02</v>
      </c>
      <c r="C749" s="58"/>
      <c r="D749" s="58"/>
      <c r="E749" s="58">
        <f t="shared" si="218"/>
        <v>5838.02</v>
      </c>
      <c r="F749" s="138">
        <f t="shared" si="219"/>
        <v>5838.02</v>
      </c>
      <c r="G749" s="138">
        <v>0</v>
      </c>
      <c r="H749" s="138">
        <v>0</v>
      </c>
      <c r="I749" s="138">
        <v>0</v>
      </c>
      <c r="J749" s="138">
        <v>0</v>
      </c>
      <c r="K749" s="138">
        <v>6921</v>
      </c>
      <c r="L749" s="138">
        <v>0</v>
      </c>
      <c r="M749" s="138">
        <v>-2530</v>
      </c>
      <c r="N749" s="138">
        <v>0</v>
      </c>
      <c r="O749" s="138">
        <v>1447.02</v>
      </c>
      <c r="P749" s="138">
        <v>0</v>
      </c>
      <c r="Q749" s="138">
        <v>0</v>
      </c>
      <c r="R749" s="138">
        <v>0</v>
      </c>
      <c r="S749" s="137"/>
    </row>
    <row r="750" spans="1:19" x14ac:dyDescent="0.25">
      <c r="A750" s="59" t="s">
        <v>8</v>
      </c>
      <c r="B750" s="58">
        <v>2481.5100000000002</v>
      </c>
      <c r="C750" s="58"/>
      <c r="D750" s="58"/>
      <c r="E750" s="58">
        <f t="shared" si="218"/>
        <v>2481.5100000000002</v>
      </c>
      <c r="F750" s="138">
        <f t="shared" si="219"/>
        <v>2481.5100000000002</v>
      </c>
      <c r="G750" s="138">
        <v>0</v>
      </c>
      <c r="H750" s="138">
        <v>297.99</v>
      </c>
      <c r="I750" s="138">
        <v>1377</v>
      </c>
      <c r="J750" s="138">
        <v>332.03</v>
      </c>
      <c r="K750" s="138">
        <v>294.49</v>
      </c>
      <c r="L750" s="138">
        <v>180</v>
      </c>
      <c r="M750" s="138">
        <v>0</v>
      </c>
      <c r="N750" s="138">
        <v>0</v>
      </c>
      <c r="O750" s="138">
        <v>0</v>
      </c>
      <c r="P750" s="138">
        <v>0</v>
      </c>
      <c r="Q750" s="138">
        <v>0</v>
      </c>
      <c r="R750" s="138">
        <v>0</v>
      </c>
      <c r="S750" s="137"/>
    </row>
    <row r="751" spans="1:19" x14ac:dyDescent="0.25">
      <c r="A751" s="59" t="s">
        <v>59</v>
      </c>
      <c r="B751" s="58">
        <v>40110.120000000003</v>
      </c>
      <c r="C751" s="58">
        <v>3897</v>
      </c>
      <c r="D751" s="58"/>
      <c r="E751" s="58">
        <f t="shared" si="218"/>
        <v>44007.12</v>
      </c>
      <c r="F751" s="138">
        <f t="shared" si="219"/>
        <v>44007.12</v>
      </c>
      <c r="G751" s="138">
        <v>0</v>
      </c>
      <c r="H751" s="138">
        <v>450</v>
      </c>
      <c r="I751" s="138">
        <v>2247.12</v>
      </c>
      <c r="J751" s="138">
        <v>0</v>
      </c>
      <c r="K751" s="138">
        <v>0</v>
      </c>
      <c r="L751" s="138">
        <v>0</v>
      </c>
      <c r="M751" s="138">
        <v>0</v>
      </c>
      <c r="N751" s="138">
        <v>0</v>
      </c>
      <c r="O751" s="138">
        <v>2610</v>
      </c>
      <c r="P751" s="138">
        <v>0</v>
      </c>
      <c r="Q751" s="138">
        <v>38700</v>
      </c>
      <c r="R751" s="138">
        <v>0</v>
      </c>
      <c r="S751" s="137"/>
    </row>
    <row r="752" spans="1:19" x14ac:dyDescent="0.25">
      <c r="A752" s="59" t="s">
        <v>9</v>
      </c>
      <c r="B752" s="58">
        <v>8497.2000000000007</v>
      </c>
      <c r="C752" s="58"/>
      <c r="D752" s="58"/>
      <c r="E752" s="58">
        <f t="shared" si="218"/>
        <v>8497.2000000000007</v>
      </c>
      <c r="F752" s="138">
        <f t="shared" si="219"/>
        <v>8497.2000000000007</v>
      </c>
      <c r="G752" s="138">
        <v>0</v>
      </c>
      <c r="H752" s="138">
        <v>0</v>
      </c>
      <c r="I752" s="138">
        <v>2081.98</v>
      </c>
      <c r="J752" s="138">
        <v>0</v>
      </c>
      <c r="K752" s="138">
        <v>4965.5200000000004</v>
      </c>
      <c r="L752" s="138">
        <v>193.75</v>
      </c>
      <c r="M752" s="138">
        <v>1155.9100000000001</v>
      </c>
      <c r="N752" s="138">
        <v>100.04</v>
      </c>
      <c r="O752" s="138">
        <v>0</v>
      </c>
      <c r="P752" s="138">
        <v>0</v>
      </c>
      <c r="Q752" s="138">
        <v>0</v>
      </c>
      <c r="R752" s="138">
        <v>0</v>
      </c>
      <c r="S752" s="137"/>
    </row>
    <row r="753" spans="1:19" x14ac:dyDescent="0.25">
      <c r="A753" s="59" t="s">
        <v>60</v>
      </c>
      <c r="B753" s="58">
        <v>1000</v>
      </c>
      <c r="C753" s="58"/>
      <c r="D753" s="58"/>
      <c r="E753" s="58">
        <f t="shared" si="218"/>
        <v>1000</v>
      </c>
      <c r="F753" s="138">
        <f t="shared" si="219"/>
        <v>1000</v>
      </c>
      <c r="G753" s="138">
        <v>0</v>
      </c>
      <c r="H753" s="138">
        <v>0</v>
      </c>
      <c r="I753" s="138">
        <v>0</v>
      </c>
      <c r="J753" s="138">
        <v>0</v>
      </c>
      <c r="K753" s="138">
        <v>1000</v>
      </c>
      <c r="L753" s="138">
        <v>0</v>
      </c>
      <c r="M753" s="138">
        <v>0</v>
      </c>
      <c r="N753" s="138">
        <v>0</v>
      </c>
      <c r="O753" s="138">
        <v>0</v>
      </c>
      <c r="P753" s="138">
        <v>0</v>
      </c>
      <c r="Q753" s="138">
        <v>0</v>
      </c>
      <c r="R753" s="138">
        <v>0</v>
      </c>
      <c r="S753" s="137"/>
    </row>
    <row r="754" spans="1:19" x14ac:dyDescent="0.25">
      <c r="A754" s="59" t="s">
        <v>61</v>
      </c>
      <c r="B754" s="58">
        <v>2092.5</v>
      </c>
      <c r="C754" s="58">
        <v>0</v>
      </c>
      <c r="D754" s="58"/>
      <c r="E754" s="58">
        <f t="shared" si="218"/>
        <v>2092.5</v>
      </c>
      <c r="F754" s="138">
        <f t="shared" si="219"/>
        <v>2092.5</v>
      </c>
      <c r="G754" s="138">
        <v>0</v>
      </c>
      <c r="H754" s="138">
        <v>0</v>
      </c>
      <c r="I754" s="138">
        <v>0</v>
      </c>
      <c r="J754" s="138">
        <v>0</v>
      </c>
      <c r="K754" s="138">
        <v>1715</v>
      </c>
      <c r="L754" s="138">
        <v>377.5</v>
      </c>
      <c r="M754" s="138">
        <v>0</v>
      </c>
      <c r="N754" s="138">
        <v>0</v>
      </c>
      <c r="O754" s="138">
        <v>0</v>
      </c>
      <c r="P754" s="138">
        <v>0</v>
      </c>
      <c r="Q754" s="138">
        <v>0</v>
      </c>
      <c r="R754" s="138">
        <v>0</v>
      </c>
      <c r="S754" s="137"/>
    </row>
    <row r="755" spans="1:19" x14ac:dyDescent="0.25">
      <c r="A755" s="59" t="s">
        <v>62</v>
      </c>
      <c r="B755" s="93">
        <v>5684.66</v>
      </c>
      <c r="C755" s="58">
        <v>20393.2</v>
      </c>
      <c r="D755" s="58"/>
      <c r="E755" s="58">
        <f t="shared" si="218"/>
        <v>26077.86</v>
      </c>
      <c r="F755" s="138">
        <f t="shared" si="219"/>
        <v>26077.86</v>
      </c>
      <c r="G755" s="138">
        <v>0</v>
      </c>
      <c r="H755" s="138">
        <v>743</v>
      </c>
      <c r="I755" s="138">
        <v>0</v>
      </c>
      <c r="J755" s="138">
        <v>3000.46</v>
      </c>
      <c r="K755" s="138">
        <v>6296</v>
      </c>
      <c r="L755" s="138">
        <v>210</v>
      </c>
      <c r="M755" s="138">
        <v>283.39999999999998</v>
      </c>
      <c r="N755" s="138">
        <v>1508</v>
      </c>
      <c r="O755" s="138">
        <v>1167</v>
      </c>
      <c r="P755" s="138">
        <v>0</v>
      </c>
      <c r="Q755" s="138">
        <v>12870</v>
      </c>
      <c r="R755" s="138">
        <v>0</v>
      </c>
      <c r="S755" s="137"/>
    </row>
    <row r="756" spans="1:19" x14ac:dyDescent="0.25">
      <c r="A756" s="59" t="s">
        <v>10</v>
      </c>
      <c r="B756" s="58">
        <v>91753</v>
      </c>
      <c r="C756" s="58">
        <v>22000</v>
      </c>
      <c r="D756" s="58"/>
      <c r="E756" s="58">
        <f t="shared" si="218"/>
        <v>113753</v>
      </c>
      <c r="F756" s="138">
        <f t="shared" si="219"/>
        <v>113753</v>
      </c>
      <c r="G756" s="138">
        <v>0</v>
      </c>
      <c r="H756" s="138">
        <v>0</v>
      </c>
      <c r="I756" s="138">
        <v>0</v>
      </c>
      <c r="J756" s="138">
        <v>89</v>
      </c>
      <c r="K756" s="138">
        <v>20232</v>
      </c>
      <c r="L756" s="138">
        <v>20232</v>
      </c>
      <c r="M756" s="138">
        <v>10116</v>
      </c>
      <c r="N756" s="138">
        <v>10116</v>
      </c>
      <c r="O756" s="138">
        <v>11736</v>
      </c>
      <c r="P756" s="138">
        <v>21000</v>
      </c>
      <c r="Q756" s="138">
        <v>10116</v>
      </c>
      <c r="R756" s="138">
        <v>10116</v>
      </c>
      <c r="S756" s="137"/>
    </row>
    <row r="757" spans="1:19" x14ac:dyDescent="0.25">
      <c r="A757" s="59" t="s">
        <v>231</v>
      </c>
      <c r="B757" s="58">
        <v>4483.3999999999996</v>
      </c>
      <c r="C757" s="58"/>
      <c r="D757" s="58"/>
      <c r="E757" s="58">
        <f t="shared" si="218"/>
        <v>4483.3999999999996</v>
      </c>
      <c r="F757" s="138">
        <f t="shared" si="219"/>
        <v>4483.3999999999996</v>
      </c>
      <c r="G757" s="138">
        <v>0</v>
      </c>
      <c r="H757" s="138">
        <v>0</v>
      </c>
      <c r="I757" s="138">
        <v>3445.2</v>
      </c>
      <c r="J757" s="138">
        <v>0</v>
      </c>
      <c r="K757" s="138">
        <v>1038.2</v>
      </c>
      <c r="L757" s="138">
        <v>0</v>
      </c>
      <c r="M757" s="138">
        <v>0</v>
      </c>
      <c r="N757" s="138">
        <v>0</v>
      </c>
      <c r="O757" s="138">
        <v>0</v>
      </c>
      <c r="P757" s="138">
        <v>0</v>
      </c>
      <c r="Q757" s="138">
        <v>0</v>
      </c>
      <c r="R757" s="138">
        <v>0</v>
      </c>
      <c r="S757" s="137"/>
    </row>
    <row r="758" spans="1:19" x14ac:dyDescent="0.25">
      <c r="A758" s="59" t="s">
        <v>255</v>
      </c>
      <c r="B758" s="58">
        <v>180</v>
      </c>
      <c r="C758" s="58"/>
      <c r="D758" s="58"/>
      <c r="E758" s="58">
        <f t="shared" si="218"/>
        <v>180</v>
      </c>
      <c r="F758" s="138">
        <f t="shared" si="219"/>
        <v>180</v>
      </c>
      <c r="G758" s="138">
        <v>0</v>
      </c>
      <c r="H758" s="138">
        <v>0</v>
      </c>
      <c r="I758" s="138">
        <v>0</v>
      </c>
      <c r="J758" s="138">
        <v>0</v>
      </c>
      <c r="K758" s="138">
        <v>0</v>
      </c>
      <c r="L758" s="138">
        <v>0</v>
      </c>
      <c r="M758" s="138">
        <v>0</v>
      </c>
      <c r="N758" s="138">
        <v>0</v>
      </c>
      <c r="O758" s="138">
        <v>180</v>
      </c>
      <c r="P758" s="138">
        <v>0</v>
      </c>
      <c r="Q758" s="138">
        <v>0</v>
      </c>
      <c r="R758" s="138">
        <v>0</v>
      </c>
      <c r="S758" s="137"/>
    </row>
    <row r="759" spans="1:19" x14ac:dyDescent="0.25">
      <c r="A759" s="59" t="s">
        <v>11</v>
      </c>
      <c r="B759" s="125">
        <v>0</v>
      </c>
      <c r="C759" s="125">
        <v>47032</v>
      </c>
      <c r="D759" s="58"/>
      <c r="E759" s="58">
        <f t="shared" si="218"/>
        <v>47032</v>
      </c>
      <c r="F759" s="138">
        <f t="shared" si="219"/>
        <v>47032</v>
      </c>
      <c r="G759" s="138">
        <v>0</v>
      </c>
      <c r="H759" s="138">
        <v>0</v>
      </c>
      <c r="I759" s="138">
        <v>0</v>
      </c>
      <c r="J759" s="138">
        <v>0</v>
      </c>
      <c r="K759" s="138">
        <v>0</v>
      </c>
      <c r="L759" s="138">
        <v>1160</v>
      </c>
      <c r="M759" s="138">
        <v>0</v>
      </c>
      <c r="N759" s="138">
        <v>0</v>
      </c>
      <c r="O759" s="138">
        <v>0</v>
      </c>
      <c r="P759" s="138">
        <v>0</v>
      </c>
      <c r="Q759" s="138">
        <v>45872</v>
      </c>
      <c r="R759" s="138">
        <v>0</v>
      </c>
      <c r="S759" s="137"/>
    </row>
    <row r="760" spans="1:19" x14ac:dyDescent="0.25">
      <c r="A760" s="59" t="s">
        <v>93</v>
      </c>
      <c r="B760" s="125">
        <v>1563.93</v>
      </c>
      <c r="C760" s="125"/>
      <c r="D760" s="58"/>
      <c r="E760" s="58">
        <f t="shared" si="218"/>
        <v>1563.93</v>
      </c>
      <c r="F760" s="138">
        <f t="shared" si="219"/>
        <v>1563.93</v>
      </c>
      <c r="G760" s="138">
        <v>0</v>
      </c>
      <c r="H760" s="138">
        <v>0</v>
      </c>
      <c r="I760" s="138">
        <v>0</v>
      </c>
      <c r="J760" s="138">
        <v>0</v>
      </c>
      <c r="K760" s="138">
        <v>1357.2</v>
      </c>
      <c r="L760" s="138">
        <v>0</v>
      </c>
      <c r="M760" s="138">
        <v>0</v>
      </c>
      <c r="N760" s="138">
        <v>0</v>
      </c>
      <c r="O760" s="138">
        <v>206.73</v>
      </c>
      <c r="P760" s="138">
        <v>0</v>
      </c>
      <c r="Q760" s="138">
        <v>0</v>
      </c>
      <c r="R760" s="138">
        <v>0</v>
      </c>
      <c r="S760" s="137"/>
    </row>
    <row r="761" spans="1:19" x14ac:dyDescent="0.25">
      <c r="A761" s="59" t="s">
        <v>40</v>
      </c>
      <c r="B761" s="58">
        <v>1715</v>
      </c>
      <c r="C761" s="58"/>
      <c r="D761" s="58"/>
      <c r="E761" s="58">
        <f t="shared" si="218"/>
        <v>1715</v>
      </c>
      <c r="F761" s="138">
        <f t="shared" si="219"/>
        <v>1715</v>
      </c>
      <c r="G761" s="138">
        <v>0</v>
      </c>
      <c r="H761" s="138">
        <v>0</v>
      </c>
      <c r="I761" s="138">
        <v>0</v>
      </c>
      <c r="J761" s="138">
        <v>0</v>
      </c>
      <c r="K761" s="138">
        <v>0</v>
      </c>
      <c r="L761" s="138">
        <v>0</v>
      </c>
      <c r="M761" s="138">
        <v>0</v>
      </c>
      <c r="N761" s="138">
        <v>0</v>
      </c>
      <c r="O761" s="138">
        <v>0</v>
      </c>
      <c r="P761" s="138">
        <v>0</v>
      </c>
      <c r="Q761" s="138">
        <v>1715</v>
      </c>
      <c r="R761" s="138">
        <v>0</v>
      </c>
      <c r="S761" s="137"/>
    </row>
    <row r="762" spans="1:19" x14ac:dyDescent="0.25">
      <c r="A762" s="59" t="s">
        <v>63</v>
      </c>
      <c r="B762" s="58">
        <v>8547.4199999999983</v>
      </c>
      <c r="C762" s="58"/>
      <c r="D762" s="58"/>
      <c r="E762" s="58">
        <f t="shared" si="218"/>
        <v>8547.4199999999983</v>
      </c>
      <c r="F762" s="138">
        <f t="shared" si="219"/>
        <v>8547.4199999999983</v>
      </c>
      <c r="G762" s="138">
        <v>0</v>
      </c>
      <c r="H762" s="138">
        <v>0</v>
      </c>
      <c r="I762" s="138">
        <v>0</v>
      </c>
      <c r="J762" s="138">
        <v>1583.82</v>
      </c>
      <c r="K762" s="138">
        <v>2888.66</v>
      </c>
      <c r="L762" s="138">
        <v>449.86</v>
      </c>
      <c r="M762" s="138">
        <v>1795.3</v>
      </c>
      <c r="N762" s="138">
        <v>1709.81</v>
      </c>
      <c r="O762" s="138">
        <v>119.97</v>
      </c>
      <c r="P762" s="138">
        <v>0</v>
      </c>
      <c r="Q762" s="138">
        <v>0</v>
      </c>
      <c r="R762" s="138">
        <v>0</v>
      </c>
      <c r="S762" s="137"/>
    </row>
    <row r="763" spans="1:19" x14ac:dyDescent="0.25">
      <c r="A763" s="59" t="s">
        <v>64</v>
      </c>
      <c r="B763" s="58">
        <v>2500</v>
      </c>
      <c r="C763" s="58"/>
      <c r="D763" s="58"/>
      <c r="E763" s="58">
        <f t="shared" si="218"/>
        <v>2500</v>
      </c>
      <c r="F763" s="138">
        <f t="shared" si="219"/>
        <v>2500</v>
      </c>
      <c r="G763" s="138">
        <v>0</v>
      </c>
      <c r="H763" s="138">
        <v>0</v>
      </c>
      <c r="I763" s="138">
        <v>0</v>
      </c>
      <c r="J763" s="138">
        <v>0</v>
      </c>
      <c r="K763" s="138">
        <v>0</v>
      </c>
      <c r="L763" s="138">
        <v>0</v>
      </c>
      <c r="M763" s="138">
        <v>0</v>
      </c>
      <c r="N763" s="138">
        <v>0</v>
      </c>
      <c r="O763" s="138">
        <v>0</v>
      </c>
      <c r="P763" s="138">
        <v>2500</v>
      </c>
      <c r="Q763" s="138">
        <v>0</v>
      </c>
      <c r="R763" s="138">
        <v>0</v>
      </c>
      <c r="S763" s="137"/>
    </row>
    <row r="764" spans="1:19" x14ac:dyDescent="0.25">
      <c r="A764" s="59" t="s">
        <v>12</v>
      </c>
      <c r="B764" s="58">
        <v>3250.01</v>
      </c>
      <c r="C764" s="58"/>
      <c r="D764" s="58"/>
      <c r="E764" s="58">
        <f t="shared" si="218"/>
        <v>3250.01</v>
      </c>
      <c r="F764" s="138">
        <f t="shared" si="219"/>
        <v>3250.01</v>
      </c>
      <c r="G764" s="138">
        <v>0</v>
      </c>
      <c r="H764" s="138">
        <v>18</v>
      </c>
      <c r="I764" s="138">
        <v>0</v>
      </c>
      <c r="J764" s="138">
        <v>0</v>
      </c>
      <c r="K764" s="138">
        <v>2500</v>
      </c>
      <c r="L764" s="138">
        <v>140.01</v>
      </c>
      <c r="M764" s="138">
        <v>0</v>
      </c>
      <c r="N764" s="138">
        <v>0</v>
      </c>
      <c r="O764" s="138">
        <v>592</v>
      </c>
      <c r="P764" s="138">
        <v>0</v>
      </c>
      <c r="Q764" s="138">
        <v>0</v>
      </c>
      <c r="R764" s="138">
        <v>0</v>
      </c>
      <c r="S764" s="137"/>
    </row>
    <row r="765" spans="1:19" x14ac:dyDescent="0.25">
      <c r="A765" s="59" t="s">
        <v>13</v>
      </c>
      <c r="B765" s="58">
        <v>527</v>
      </c>
      <c r="C765" s="58"/>
      <c r="D765" s="58"/>
      <c r="E765" s="58">
        <f t="shared" si="218"/>
        <v>527</v>
      </c>
      <c r="F765" s="138">
        <f t="shared" si="219"/>
        <v>527</v>
      </c>
      <c r="G765" s="138">
        <v>0</v>
      </c>
      <c r="H765" s="138">
        <v>0</v>
      </c>
      <c r="I765" s="138">
        <v>112</v>
      </c>
      <c r="J765" s="138">
        <v>0</v>
      </c>
      <c r="K765" s="138">
        <v>0</v>
      </c>
      <c r="L765" s="138">
        <v>415</v>
      </c>
      <c r="M765" s="138">
        <v>0</v>
      </c>
      <c r="N765" s="138">
        <v>0</v>
      </c>
      <c r="O765" s="138">
        <v>0</v>
      </c>
      <c r="P765" s="138">
        <v>0</v>
      </c>
      <c r="Q765" s="138">
        <v>0</v>
      </c>
      <c r="R765" s="138">
        <v>0</v>
      </c>
      <c r="S765" s="137"/>
    </row>
    <row r="766" spans="1:19" x14ac:dyDescent="0.25">
      <c r="A766" s="59" t="s">
        <v>172</v>
      </c>
      <c r="B766" s="93">
        <v>15121</v>
      </c>
      <c r="C766" s="58">
        <v>1939.8</v>
      </c>
      <c r="D766" s="58"/>
      <c r="E766" s="58">
        <f t="shared" si="218"/>
        <v>17060.8</v>
      </c>
      <c r="F766" s="138">
        <f t="shared" si="219"/>
        <v>15121</v>
      </c>
      <c r="G766" s="138">
        <v>0</v>
      </c>
      <c r="H766" s="138">
        <v>0</v>
      </c>
      <c r="I766" s="138">
        <v>0</v>
      </c>
      <c r="J766" s="138">
        <v>0</v>
      </c>
      <c r="K766" s="138">
        <v>2500</v>
      </c>
      <c r="L766" s="138">
        <v>3900</v>
      </c>
      <c r="M766" s="138">
        <v>0</v>
      </c>
      <c r="N766" s="138">
        <v>0</v>
      </c>
      <c r="O766" s="138">
        <v>0</v>
      </c>
      <c r="P766" s="138">
        <v>8721</v>
      </c>
      <c r="Q766" s="138">
        <v>0</v>
      </c>
      <c r="R766" s="138">
        <v>0</v>
      </c>
      <c r="S766" s="137"/>
    </row>
    <row r="767" spans="1:19" x14ac:dyDescent="0.25">
      <c r="A767" s="117" t="s">
        <v>171</v>
      </c>
      <c r="B767" s="58">
        <v>11052.24</v>
      </c>
      <c r="C767" s="63"/>
      <c r="D767" s="58"/>
      <c r="E767" s="58">
        <f t="shared" si="218"/>
        <v>11052.24</v>
      </c>
      <c r="F767" s="138">
        <f t="shared" si="219"/>
        <v>11052.24</v>
      </c>
      <c r="G767" s="138">
        <v>0</v>
      </c>
      <c r="H767" s="138">
        <v>0</v>
      </c>
      <c r="I767" s="138">
        <v>3982.28</v>
      </c>
      <c r="J767" s="138">
        <v>0</v>
      </c>
      <c r="K767" s="138">
        <v>5785.96</v>
      </c>
      <c r="L767" s="138">
        <v>1284</v>
      </c>
      <c r="M767" s="138">
        <v>0</v>
      </c>
      <c r="N767" s="138">
        <v>0</v>
      </c>
      <c r="O767" s="138">
        <v>0</v>
      </c>
      <c r="P767" s="138">
        <v>0</v>
      </c>
      <c r="Q767" s="138">
        <v>0</v>
      </c>
      <c r="R767" s="138">
        <v>0</v>
      </c>
      <c r="S767" s="137"/>
    </row>
    <row r="768" spans="1:19" x14ac:dyDescent="0.25">
      <c r="A768" s="59" t="s">
        <v>36</v>
      </c>
      <c r="B768" s="58">
        <v>4868.8</v>
      </c>
      <c r="C768" s="58"/>
      <c r="D768" s="58"/>
      <c r="E768" s="58">
        <f t="shared" si="218"/>
        <v>4868.8</v>
      </c>
      <c r="F768" s="138">
        <f t="shared" si="219"/>
        <v>4868.8</v>
      </c>
      <c r="G768" s="138">
        <v>0</v>
      </c>
      <c r="H768" s="138">
        <v>0</v>
      </c>
      <c r="I768" s="138">
        <v>0</v>
      </c>
      <c r="J768" s="138">
        <v>0</v>
      </c>
      <c r="K768" s="138">
        <v>1142.8</v>
      </c>
      <c r="L768" s="138">
        <v>0</v>
      </c>
      <c r="M768" s="138">
        <v>0</v>
      </c>
      <c r="N768" s="138">
        <v>0</v>
      </c>
      <c r="O768" s="138">
        <v>0</v>
      </c>
      <c r="P768" s="138">
        <v>3726</v>
      </c>
      <c r="Q768" s="138">
        <v>0</v>
      </c>
      <c r="R768" s="138">
        <v>0</v>
      </c>
      <c r="S768" s="137"/>
    </row>
    <row r="769" spans="1:19" x14ac:dyDescent="0.25">
      <c r="A769" s="59" t="s">
        <v>5</v>
      </c>
      <c r="B769" s="58"/>
      <c r="C769" s="58"/>
      <c r="D769" s="58"/>
      <c r="E769" s="58">
        <f t="shared" si="216"/>
        <v>0</v>
      </c>
      <c r="F769" s="138">
        <f t="shared" si="217"/>
        <v>0</v>
      </c>
      <c r="G769" s="138" t="s">
        <v>75</v>
      </c>
      <c r="H769" s="138" t="s">
        <v>75</v>
      </c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7"/>
    </row>
    <row r="770" spans="1:19" x14ac:dyDescent="0.25">
      <c r="A770" s="9"/>
      <c r="B770" s="40"/>
      <c r="C770" s="40"/>
      <c r="D770" s="40"/>
      <c r="E770" s="51"/>
      <c r="F770" s="138" t="s">
        <v>75</v>
      </c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7"/>
    </row>
    <row r="771" spans="1:19" ht="18.75" x14ac:dyDescent="0.4">
      <c r="A771" s="32" t="s">
        <v>111</v>
      </c>
      <c r="B771" s="40"/>
      <c r="C771" s="40"/>
      <c r="D771" s="40"/>
      <c r="E771" s="51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7"/>
    </row>
    <row r="772" spans="1:19" x14ac:dyDescent="0.25">
      <c r="A772" s="59"/>
      <c r="B772" s="58"/>
      <c r="C772" s="58"/>
      <c r="D772" s="58"/>
      <c r="E772" s="58">
        <f t="shared" ref="E772:E773" si="220">+B772+C772+D772</f>
        <v>0</v>
      </c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7"/>
    </row>
    <row r="773" spans="1:19" x14ac:dyDescent="0.25">
      <c r="A773" s="59"/>
      <c r="B773" s="58"/>
      <c r="C773" s="58"/>
      <c r="D773" s="58"/>
      <c r="E773" s="58">
        <f t="shared" si="220"/>
        <v>0</v>
      </c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7"/>
    </row>
    <row r="774" spans="1:19" ht="18.75" x14ac:dyDescent="0.4">
      <c r="A774" s="32" t="s">
        <v>112</v>
      </c>
      <c r="B774" s="40"/>
      <c r="C774" s="40"/>
      <c r="D774" s="40"/>
      <c r="E774" s="51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7"/>
    </row>
    <row r="775" spans="1:19" x14ac:dyDescent="0.25">
      <c r="A775" s="60" t="s">
        <v>124</v>
      </c>
      <c r="B775" s="58">
        <v>0</v>
      </c>
      <c r="C775" s="58"/>
      <c r="D775" s="58"/>
      <c r="E775" s="58">
        <f t="shared" ref="E775:E776" si="221">+B775+C775+D775</f>
        <v>0</v>
      </c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7"/>
    </row>
    <row r="776" spans="1:19" x14ac:dyDescent="0.25">
      <c r="A776" s="60" t="s">
        <v>75</v>
      </c>
      <c r="B776" s="61">
        <v>0</v>
      </c>
      <c r="C776" s="58"/>
      <c r="D776" s="58"/>
      <c r="E776" s="58">
        <f t="shared" si="221"/>
        <v>0</v>
      </c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7"/>
    </row>
    <row r="777" spans="1:19" ht="18.75" x14ac:dyDescent="0.4">
      <c r="A777" s="34" t="s">
        <v>113</v>
      </c>
      <c r="B777" s="40"/>
      <c r="C777" s="40"/>
      <c r="D777" s="40"/>
      <c r="E777" s="51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7"/>
    </row>
    <row r="778" spans="1:19" x14ac:dyDescent="0.25">
      <c r="A778" s="92" t="s">
        <v>276</v>
      </c>
      <c r="B778" s="58">
        <v>0</v>
      </c>
      <c r="C778" s="58">
        <v>0</v>
      </c>
      <c r="D778" s="58"/>
      <c r="E778" s="58">
        <f t="shared" ref="E778:E781" si="222">+B778+C778+D778</f>
        <v>0</v>
      </c>
      <c r="F778" s="138">
        <f t="shared" ref="F778:F781" si="223">SUM(G778:R778)</f>
        <v>20880</v>
      </c>
      <c r="G778" s="138">
        <v>0</v>
      </c>
      <c r="H778" s="138">
        <v>0</v>
      </c>
      <c r="I778" s="138">
        <v>0</v>
      </c>
      <c r="J778" s="138">
        <v>0</v>
      </c>
      <c r="K778" s="138">
        <v>0</v>
      </c>
      <c r="L778" s="138">
        <v>0</v>
      </c>
      <c r="M778" s="138">
        <v>0</v>
      </c>
      <c r="N778" s="138">
        <v>0</v>
      </c>
      <c r="O778" s="138">
        <v>0</v>
      </c>
      <c r="P778" s="138">
        <v>20880</v>
      </c>
      <c r="Q778" s="138">
        <v>0</v>
      </c>
      <c r="R778" s="138">
        <v>0</v>
      </c>
      <c r="S778" s="137"/>
    </row>
    <row r="779" spans="1:19" x14ac:dyDescent="0.25">
      <c r="A779" s="92" t="s">
        <v>277</v>
      </c>
      <c r="B779" s="58"/>
      <c r="C779" s="58"/>
      <c r="D779" s="58"/>
      <c r="E779" s="58">
        <f t="shared" si="222"/>
        <v>0</v>
      </c>
      <c r="F779" s="138">
        <f t="shared" si="223"/>
        <v>1740</v>
      </c>
      <c r="G779" s="138">
        <v>0</v>
      </c>
      <c r="H779" s="138">
        <v>0</v>
      </c>
      <c r="I779" s="138">
        <v>0</v>
      </c>
      <c r="J779" s="138">
        <v>0</v>
      </c>
      <c r="K779" s="138">
        <v>0</v>
      </c>
      <c r="L779" s="138">
        <v>1740</v>
      </c>
      <c r="M779" s="138">
        <v>0</v>
      </c>
      <c r="N779" s="138">
        <v>0</v>
      </c>
      <c r="O779" s="138">
        <v>0</v>
      </c>
      <c r="P779" s="138">
        <v>0</v>
      </c>
      <c r="Q779" s="138">
        <v>0</v>
      </c>
      <c r="R779" s="138">
        <v>0</v>
      </c>
      <c r="S779" s="137"/>
    </row>
    <row r="780" spans="1:19" x14ac:dyDescent="0.25">
      <c r="A780" s="59" t="s">
        <v>128</v>
      </c>
      <c r="B780" s="58">
        <v>0</v>
      </c>
      <c r="C780" s="58">
        <v>0</v>
      </c>
      <c r="D780" s="58"/>
      <c r="E780" s="58">
        <f t="shared" si="222"/>
        <v>0</v>
      </c>
      <c r="F780" s="138">
        <f t="shared" si="223"/>
        <v>1148.4000000000001</v>
      </c>
      <c r="G780" s="138">
        <v>0</v>
      </c>
      <c r="H780" s="138">
        <v>0</v>
      </c>
      <c r="I780" s="138">
        <v>0</v>
      </c>
      <c r="J780" s="138">
        <v>0</v>
      </c>
      <c r="K780" s="138">
        <v>0</v>
      </c>
      <c r="L780" s="138">
        <v>1148.4000000000001</v>
      </c>
      <c r="M780" s="138">
        <v>0</v>
      </c>
      <c r="N780" s="138">
        <v>0</v>
      </c>
      <c r="O780" s="138">
        <v>0</v>
      </c>
      <c r="P780" s="138">
        <v>0</v>
      </c>
      <c r="Q780" s="138">
        <v>0</v>
      </c>
      <c r="R780" s="138">
        <v>0</v>
      </c>
      <c r="S780" s="137"/>
    </row>
    <row r="781" spans="1:19" x14ac:dyDescent="0.25">
      <c r="A781" s="92" t="s">
        <v>273</v>
      </c>
      <c r="B781" s="58"/>
      <c r="C781" s="58"/>
      <c r="D781" s="58"/>
      <c r="E781" s="58">
        <f t="shared" si="222"/>
        <v>0</v>
      </c>
      <c r="F781" s="138">
        <f t="shared" si="223"/>
        <v>56608</v>
      </c>
      <c r="G781" s="138">
        <v>0</v>
      </c>
      <c r="H781" s="138">
        <v>0</v>
      </c>
      <c r="I781" s="138">
        <v>0</v>
      </c>
      <c r="J781" s="138">
        <v>0</v>
      </c>
      <c r="K781" s="138">
        <v>0</v>
      </c>
      <c r="L781" s="138">
        <v>0</v>
      </c>
      <c r="M781" s="138">
        <v>0</v>
      </c>
      <c r="N781" s="138">
        <v>28304</v>
      </c>
      <c r="O781" s="138">
        <v>28304</v>
      </c>
      <c r="P781" s="138">
        <v>0</v>
      </c>
      <c r="Q781" s="138">
        <v>0</v>
      </c>
      <c r="R781" s="138">
        <v>0</v>
      </c>
      <c r="S781" s="137"/>
    </row>
    <row r="782" spans="1:19" x14ac:dyDescent="0.25">
      <c r="A782" s="59" t="s">
        <v>75</v>
      </c>
      <c r="B782" s="58">
        <v>0</v>
      </c>
      <c r="C782" s="58">
        <v>0</v>
      </c>
      <c r="D782" s="58"/>
      <c r="E782" s="58">
        <f t="shared" ref="E782" si="224">+B782+C782+D782</f>
        <v>0</v>
      </c>
      <c r="F782" s="138">
        <f>SUM(E778:E782)</f>
        <v>0</v>
      </c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7"/>
    </row>
    <row r="783" spans="1:19" x14ac:dyDescent="0.25"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7"/>
    </row>
    <row r="784" spans="1:19" x14ac:dyDescent="0.25"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7"/>
    </row>
    <row r="785" spans="1:35" ht="15.75" x14ac:dyDescent="0.3">
      <c r="A785" s="186" t="s">
        <v>76</v>
      </c>
      <c r="B785" s="186"/>
      <c r="C785" s="186"/>
      <c r="D785" s="186"/>
      <c r="E785" s="186"/>
      <c r="F785" s="158"/>
      <c r="G785" s="15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7"/>
    </row>
    <row r="786" spans="1:35" x14ac:dyDescent="0.25"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7"/>
    </row>
    <row r="787" spans="1:35" ht="30" x14ac:dyDescent="0.25">
      <c r="A787" s="33" t="s">
        <v>105</v>
      </c>
      <c r="B787" s="38" t="s">
        <v>106</v>
      </c>
      <c r="C787" s="38" t="s">
        <v>107</v>
      </c>
      <c r="D787" s="38" t="s">
        <v>108</v>
      </c>
      <c r="E787" s="38" t="s">
        <v>109</v>
      </c>
      <c r="F787" s="138"/>
      <c r="G787" s="38" t="s">
        <v>192</v>
      </c>
      <c r="H787" s="38" t="s">
        <v>193</v>
      </c>
      <c r="I787" s="38" t="s">
        <v>194</v>
      </c>
      <c r="J787" s="38" t="s">
        <v>195</v>
      </c>
      <c r="K787" s="38" t="s">
        <v>196</v>
      </c>
      <c r="L787" s="38" t="s">
        <v>197</v>
      </c>
      <c r="M787" s="38" t="s">
        <v>198</v>
      </c>
      <c r="N787" s="38" t="s">
        <v>199</v>
      </c>
      <c r="O787" s="38" t="s">
        <v>200</v>
      </c>
      <c r="P787" s="38" t="s">
        <v>201</v>
      </c>
      <c r="Q787" s="38" t="s">
        <v>202</v>
      </c>
      <c r="R787" s="38" t="s">
        <v>203</v>
      </c>
      <c r="S787" s="137"/>
    </row>
    <row r="788" spans="1:35" ht="18.75" x14ac:dyDescent="0.4">
      <c r="A788" s="32" t="s">
        <v>110</v>
      </c>
      <c r="B788" s="37">
        <f>SUM(B789:B812)</f>
        <v>0</v>
      </c>
      <c r="C788" s="37">
        <f t="shared" ref="C788:E788" si="225">SUM(C789:C812)</f>
        <v>0</v>
      </c>
      <c r="D788" s="37">
        <f t="shared" si="225"/>
        <v>0</v>
      </c>
      <c r="E788" s="37">
        <f t="shared" si="225"/>
        <v>0</v>
      </c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7"/>
    </row>
    <row r="789" spans="1:35" s="3" customFormat="1" ht="11.25" customHeight="1" x14ac:dyDescent="0.15">
      <c r="A789" s="59" t="s">
        <v>1</v>
      </c>
      <c r="B789" s="52">
        <v>0</v>
      </c>
      <c r="C789" s="58"/>
      <c r="D789" s="58"/>
      <c r="E789" s="58">
        <f t="shared" ref="E789:E803" si="226">+B789+C789+D789</f>
        <v>0</v>
      </c>
      <c r="F789" s="138">
        <f t="shared" ref="F789:F803" si="227">SUM(G789:R789)</f>
        <v>0</v>
      </c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9"/>
      <c r="U789" s="4"/>
      <c r="W789" s="4"/>
      <c r="Y789" s="4"/>
      <c r="AA789" s="4"/>
      <c r="AC789" s="4"/>
      <c r="AE789" s="4"/>
      <c r="AG789" s="4"/>
    </row>
    <row r="790" spans="1:35" s="3" customFormat="1" ht="11.25" customHeight="1" x14ac:dyDescent="0.15">
      <c r="A790" s="59" t="s">
        <v>2</v>
      </c>
      <c r="B790" s="52">
        <v>0</v>
      </c>
      <c r="C790" s="52"/>
      <c r="D790" s="58"/>
      <c r="E790" s="58">
        <f t="shared" si="226"/>
        <v>0</v>
      </c>
      <c r="F790" s="138">
        <f t="shared" si="227"/>
        <v>0</v>
      </c>
      <c r="G790" s="146"/>
      <c r="H790" s="142"/>
      <c r="I790" s="146"/>
      <c r="J790" s="146"/>
      <c r="K790" s="146"/>
      <c r="L790" s="146"/>
      <c r="M790" s="146"/>
      <c r="N790" s="146"/>
      <c r="O790" s="146"/>
      <c r="P790" s="146"/>
      <c r="Q790" s="146"/>
      <c r="R790" s="146"/>
      <c r="S790" s="140"/>
      <c r="T790" s="7"/>
      <c r="U790" s="8"/>
      <c r="V790" s="7"/>
      <c r="W790" s="8"/>
      <c r="X790" s="7"/>
      <c r="Y790" s="8"/>
      <c r="Z790" s="7"/>
      <c r="AA790" s="8"/>
      <c r="AB790" s="7"/>
      <c r="AC790" s="8"/>
      <c r="AD790" s="7"/>
      <c r="AE790" s="8"/>
      <c r="AF790" s="7"/>
      <c r="AG790" s="8"/>
      <c r="AH790" s="7"/>
    </row>
    <row r="791" spans="1:35" s="3" customFormat="1" ht="11.25" customHeight="1" x14ac:dyDescent="0.15">
      <c r="A791" s="59" t="s">
        <v>3</v>
      </c>
      <c r="B791" s="52">
        <v>0</v>
      </c>
      <c r="C791" s="52"/>
      <c r="D791" s="58"/>
      <c r="E791" s="58">
        <f t="shared" si="226"/>
        <v>0</v>
      </c>
      <c r="F791" s="138">
        <f t="shared" si="227"/>
        <v>0</v>
      </c>
      <c r="G791" s="146"/>
      <c r="H791" s="142"/>
      <c r="I791" s="146"/>
      <c r="J791" s="146"/>
      <c r="K791" s="146"/>
      <c r="L791" s="146"/>
      <c r="M791" s="146"/>
      <c r="N791" s="146"/>
      <c r="O791" s="146"/>
      <c r="P791" s="146"/>
      <c r="Q791" s="146"/>
      <c r="R791" s="146"/>
      <c r="S791" s="140"/>
      <c r="T791" s="7"/>
      <c r="U791" s="8"/>
      <c r="V791" s="7"/>
      <c r="W791" s="8"/>
      <c r="X791" s="7"/>
      <c r="Y791" s="8"/>
      <c r="Z791" s="7"/>
      <c r="AA791" s="8"/>
      <c r="AB791" s="7"/>
      <c r="AC791" s="8"/>
      <c r="AD791" s="7"/>
      <c r="AE791" s="8"/>
      <c r="AF791" s="7"/>
      <c r="AG791" s="8"/>
      <c r="AH791" s="7"/>
    </row>
    <row r="792" spans="1:35" s="3" customFormat="1" ht="11.25" customHeight="1" x14ac:dyDescent="0.15">
      <c r="A792" s="87" t="s">
        <v>77</v>
      </c>
      <c r="B792" s="52">
        <v>0</v>
      </c>
      <c r="C792" s="50"/>
      <c r="D792" s="50"/>
      <c r="E792" s="58">
        <f t="shared" si="226"/>
        <v>0</v>
      </c>
      <c r="F792" s="138">
        <f t="shared" si="227"/>
        <v>0</v>
      </c>
      <c r="G792" s="146"/>
      <c r="H792" s="142"/>
      <c r="I792" s="146"/>
      <c r="J792" s="146"/>
      <c r="K792" s="146"/>
      <c r="L792" s="146"/>
      <c r="M792" s="146"/>
      <c r="N792" s="146"/>
      <c r="O792" s="146"/>
      <c r="P792" s="146"/>
      <c r="Q792" s="146"/>
      <c r="R792" s="146"/>
      <c r="S792" s="140"/>
      <c r="T792" s="7"/>
      <c r="U792" s="8"/>
      <c r="V792" s="7"/>
      <c r="W792" s="8"/>
      <c r="X792" s="7"/>
      <c r="Y792" s="8"/>
      <c r="Z792" s="7"/>
      <c r="AA792" s="8"/>
      <c r="AB792" s="7"/>
      <c r="AC792" s="8"/>
      <c r="AD792" s="7"/>
      <c r="AE792" s="8"/>
      <c r="AF792" s="7"/>
      <c r="AG792" s="8"/>
      <c r="AH792" s="7"/>
      <c r="AI792" s="9"/>
    </row>
    <row r="793" spans="1:35" s="3" customFormat="1" ht="11.25" customHeight="1" x14ac:dyDescent="0.15">
      <c r="A793" s="59" t="s">
        <v>66</v>
      </c>
      <c r="B793" s="52">
        <v>0</v>
      </c>
      <c r="C793" s="52"/>
      <c r="D793" s="58"/>
      <c r="E793" s="58">
        <f t="shared" si="226"/>
        <v>0</v>
      </c>
      <c r="F793" s="138">
        <f t="shared" si="227"/>
        <v>0</v>
      </c>
      <c r="G793" s="146"/>
      <c r="H793" s="142"/>
      <c r="I793" s="146"/>
      <c r="J793" s="146"/>
      <c r="K793" s="146"/>
      <c r="L793" s="146"/>
      <c r="M793" s="146"/>
      <c r="N793" s="146"/>
      <c r="O793" s="146"/>
      <c r="P793" s="146"/>
      <c r="Q793" s="146"/>
      <c r="R793" s="146"/>
      <c r="S793" s="140"/>
      <c r="T793" s="7"/>
      <c r="U793" s="8"/>
      <c r="V793" s="7"/>
      <c r="W793" s="8"/>
      <c r="X793" s="7"/>
      <c r="Y793" s="8"/>
      <c r="Z793" s="7"/>
      <c r="AA793" s="8"/>
      <c r="AB793" s="7"/>
      <c r="AC793" s="8"/>
      <c r="AD793" s="7"/>
      <c r="AE793" s="8"/>
      <c r="AF793" s="7"/>
      <c r="AG793" s="8"/>
      <c r="AH793" s="7"/>
    </row>
    <row r="794" spans="1:35" s="3" customFormat="1" ht="11.25" customHeight="1" x14ac:dyDescent="0.15">
      <c r="A794" s="59" t="s">
        <v>67</v>
      </c>
      <c r="B794" s="52">
        <v>0</v>
      </c>
      <c r="C794" s="52"/>
      <c r="D794" s="58"/>
      <c r="E794" s="58">
        <f t="shared" si="226"/>
        <v>0</v>
      </c>
      <c r="F794" s="138">
        <f t="shared" si="227"/>
        <v>0</v>
      </c>
      <c r="G794" s="146"/>
      <c r="H794" s="142"/>
      <c r="I794" s="146"/>
      <c r="J794" s="146"/>
      <c r="K794" s="146"/>
      <c r="L794" s="146"/>
      <c r="M794" s="146"/>
      <c r="N794" s="146"/>
      <c r="O794" s="146"/>
      <c r="P794" s="146"/>
      <c r="Q794" s="146"/>
      <c r="R794" s="146"/>
      <c r="S794" s="140"/>
      <c r="T794" s="7"/>
      <c r="U794" s="8"/>
      <c r="V794" s="7"/>
      <c r="W794" s="8"/>
      <c r="X794" s="7"/>
      <c r="Y794" s="8"/>
      <c r="Z794" s="7"/>
      <c r="AA794" s="8"/>
      <c r="AB794" s="7"/>
      <c r="AC794" s="8"/>
      <c r="AD794" s="7"/>
      <c r="AE794" s="8"/>
      <c r="AF794" s="7"/>
      <c r="AG794" s="8"/>
      <c r="AH794" s="7"/>
    </row>
    <row r="795" spans="1:35" s="2" customFormat="1" ht="11.25" customHeight="1" x14ac:dyDescent="0.15">
      <c r="A795" s="87" t="s">
        <v>68</v>
      </c>
      <c r="B795" s="52">
        <v>0</v>
      </c>
      <c r="C795" s="50"/>
      <c r="D795" s="50"/>
      <c r="E795" s="58">
        <f t="shared" si="226"/>
        <v>0</v>
      </c>
      <c r="F795" s="138">
        <f t="shared" si="227"/>
        <v>0</v>
      </c>
      <c r="G795" s="146"/>
      <c r="H795" s="142"/>
      <c r="I795" s="146"/>
      <c r="J795" s="146"/>
      <c r="K795" s="146"/>
      <c r="L795" s="146"/>
      <c r="M795" s="146"/>
      <c r="N795" s="146"/>
      <c r="O795" s="146"/>
      <c r="P795" s="146"/>
      <c r="Q795" s="146"/>
      <c r="R795" s="146"/>
      <c r="S795" s="140"/>
      <c r="T795" s="7"/>
      <c r="U795" s="8"/>
      <c r="V795" s="7"/>
      <c r="W795" s="8"/>
      <c r="X795" s="7"/>
      <c r="Y795" s="8"/>
      <c r="Z795" s="7"/>
      <c r="AA795" s="8"/>
      <c r="AB795" s="7"/>
      <c r="AC795" s="8"/>
      <c r="AD795" s="7"/>
      <c r="AE795" s="8"/>
      <c r="AF795" s="7"/>
      <c r="AG795" s="8"/>
      <c r="AH795" s="7"/>
    </row>
    <row r="796" spans="1:35" s="3" customFormat="1" ht="11.25" customHeight="1" x14ac:dyDescent="0.15">
      <c r="A796" s="59" t="s">
        <v>69</v>
      </c>
      <c r="B796" s="52">
        <v>0</v>
      </c>
      <c r="C796" s="52"/>
      <c r="D796" s="58"/>
      <c r="E796" s="58">
        <f t="shared" si="226"/>
        <v>0</v>
      </c>
      <c r="F796" s="138">
        <f t="shared" si="227"/>
        <v>0</v>
      </c>
      <c r="G796" s="146"/>
      <c r="H796" s="142"/>
      <c r="I796" s="146"/>
      <c r="J796" s="146"/>
      <c r="K796" s="146"/>
      <c r="L796" s="146"/>
      <c r="M796" s="146"/>
      <c r="N796" s="146"/>
      <c r="O796" s="146"/>
      <c r="P796" s="146"/>
      <c r="Q796" s="146"/>
      <c r="R796" s="146"/>
      <c r="S796" s="140"/>
      <c r="T796" s="7"/>
      <c r="U796" s="8"/>
      <c r="V796" s="7"/>
      <c r="W796" s="8"/>
      <c r="X796" s="7"/>
      <c r="Y796" s="8"/>
      <c r="Z796" s="7"/>
      <c r="AA796" s="8"/>
      <c r="AB796" s="7"/>
      <c r="AC796" s="8"/>
      <c r="AD796" s="7"/>
      <c r="AE796" s="8"/>
      <c r="AF796" s="7"/>
      <c r="AG796" s="8"/>
      <c r="AH796" s="7"/>
    </row>
    <row r="797" spans="1:35" s="3" customFormat="1" ht="11.25" customHeight="1" x14ac:dyDescent="0.15">
      <c r="A797" s="87" t="s">
        <v>70</v>
      </c>
      <c r="B797" s="52">
        <v>0</v>
      </c>
      <c r="C797" s="50"/>
      <c r="D797" s="50"/>
      <c r="E797" s="58">
        <f t="shared" si="226"/>
        <v>0</v>
      </c>
      <c r="F797" s="138">
        <f t="shared" si="227"/>
        <v>0</v>
      </c>
      <c r="G797" s="146"/>
      <c r="H797" s="142"/>
      <c r="I797" s="146"/>
      <c r="J797" s="146"/>
      <c r="K797" s="142"/>
      <c r="L797" s="146"/>
      <c r="M797" s="142"/>
      <c r="N797" s="146"/>
      <c r="O797" s="142"/>
      <c r="P797" s="146"/>
      <c r="Q797" s="142"/>
      <c r="R797" s="146"/>
      <c r="S797" s="147"/>
      <c r="T797" s="7"/>
      <c r="U797" s="11"/>
      <c r="V797" s="7"/>
      <c r="W797" s="11"/>
      <c r="X797" s="7"/>
      <c r="Y797" s="11"/>
      <c r="Z797" s="7"/>
      <c r="AA797" s="11"/>
      <c r="AB797" s="7"/>
      <c r="AC797" s="11"/>
      <c r="AD797" s="7"/>
      <c r="AE797" s="11"/>
      <c r="AF797" s="7"/>
      <c r="AG797" s="11"/>
      <c r="AH797" s="9"/>
    </row>
    <row r="798" spans="1:35" x14ac:dyDescent="0.25">
      <c r="A798" s="59" t="s">
        <v>6</v>
      </c>
      <c r="B798" s="52">
        <v>0</v>
      </c>
      <c r="C798" s="58"/>
      <c r="D798" s="58"/>
      <c r="E798" s="58">
        <f t="shared" si="226"/>
        <v>0</v>
      </c>
      <c r="F798" s="138">
        <f t="shared" si="227"/>
        <v>0</v>
      </c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7"/>
    </row>
    <row r="799" spans="1:35" x14ac:dyDescent="0.25">
      <c r="A799" s="59" t="s">
        <v>19</v>
      </c>
      <c r="B799" s="52">
        <v>0</v>
      </c>
      <c r="C799" s="58"/>
      <c r="D799" s="58"/>
      <c r="E799" s="58">
        <f t="shared" si="226"/>
        <v>0</v>
      </c>
      <c r="F799" s="138">
        <f t="shared" si="227"/>
        <v>0</v>
      </c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7"/>
    </row>
    <row r="800" spans="1:35" x14ac:dyDescent="0.25">
      <c r="A800" s="59" t="s">
        <v>10</v>
      </c>
      <c r="B800" s="52">
        <v>0</v>
      </c>
      <c r="C800" s="58"/>
      <c r="D800" s="58"/>
      <c r="E800" s="58">
        <f t="shared" si="226"/>
        <v>0</v>
      </c>
      <c r="F800" s="138">
        <f t="shared" si="227"/>
        <v>0</v>
      </c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7"/>
    </row>
    <row r="801" spans="1:19" x14ac:dyDescent="0.25">
      <c r="A801" s="59" t="s">
        <v>12</v>
      </c>
      <c r="B801" s="52">
        <v>0</v>
      </c>
      <c r="C801" s="58"/>
      <c r="D801" s="58"/>
      <c r="E801" s="58">
        <f t="shared" si="226"/>
        <v>0</v>
      </c>
      <c r="F801" s="138">
        <f t="shared" si="227"/>
        <v>0</v>
      </c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7"/>
    </row>
    <row r="802" spans="1:19" x14ac:dyDescent="0.25">
      <c r="A802" s="59" t="s">
        <v>78</v>
      </c>
      <c r="B802" s="52">
        <v>0</v>
      </c>
      <c r="C802" s="58"/>
      <c r="D802" s="58"/>
      <c r="E802" s="58">
        <f t="shared" si="226"/>
        <v>0</v>
      </c>
      <c r="F802" s="138">
        <f t="shared" si="227"/>
        <v>0</v>
      </c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7"/>
    </row>
    <row r="803" spans="1:19" x14ac:dyDescent="0.25">
      <c r="A803" s="59" t="s">
        <v>5</v>
      </c>
      <c r="B803" s="58"/>
      <c r="C803" s="58"/>
      <c r="D803" s="58"/>
      <c r="E803" s="58">
        <f t="shared" si="226"/>
        <v>0</v>
      </c>
      <c r="F803" s="138">
        <f t="shared" si="227"/>
        <v>0</v>
      </c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7"/>
    </row>
    <row r="804" spans="1:19" x14ac:dyDescent="0.25">
      <c r="F804" s="138" t="s">
        <v>75</v>
      </c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7"/>
    </row>
    <row r="805" spans="1:19" ht="18.75" x14ac:dyDescent="0.4">
      <c r="A805" s="32" t="s">
        <v>111</v>
      </c>
      <c r="B805" s="40"/>
      <c r="C805" s="40"/>
      <c r="D805" s="40"/>
      <c r="E805" s="51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7"/>
    </row>
    <row r="806" spans="1:19" x14ac:dyDescent="0.25">
      <c r="A806" s="59"/>
      <c r="B806" s="58"/>
      <c r="C806" s="58"/>
      <c r="D806" s="58"/>
      <c r="E806" s="58">
        <f t="shared" ref="E806:E807" si="228">+B806+C806+D806</f>
        <v>0</v>
      </c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7"/>
    </row>
    <row r="807" spans="1:19" x14ac:dyDescent="0.25">
      <c r="A807" s="59"/>
      <c r="B807" s="58"/>
      <c r="C807" s="58"/>
      <c r="D807" s="58"/>
      <c r="E807" s="58">
        <f t="shared" si="228"/>
        <v>0</v>
      </c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7"/>
    </row>
    <row r="808" spans="1:19" ht="18.75" x14ac:dyDescent="0.4">
      <c r="A808" s="32" t="s">
        <v>112</v>
      </c>
      <c r="B808" s="40"/>
      <c r="C808" s="40"/>
      <c r="D808" s="40"/>
      <c r="E808" s="51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7"/>
    </row>
    <row r="809" spans="1:19" x14ac:dyDescent="0.25">
      <c r="A809" s="60" t="s">
        <v>124</v>
      </c>
      <c r="B809" s="58">
        <v>0</v>
      </c>
      <c r="C809" s="58"/>
      <c r="D809" s="58"/>
      <c r="E809" s="58">
        <f t="shared" ref="E809:E810" si="229">+B809+C809+D809</f>
        <v>0</v>
      </c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7"/>
    </row>
    <row r="810" spans="1:19" x14ac:dyDescent="0.25">
      <c r="A810" s="60" t="s">
        <v>75</v>
      </c>
      <c r="B810" s="61">
        <v>0</v>
      </c>
      <c r="C810" s="58"/>
      <c r="D810" s="58"/>
      <c r="E810" s="58">
        <f t="shared" si="229"/>
        <v>0</v>
      </c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7"/>
    </row>
    <row r="811" spans="1:19" ht="18.75" x14ac:dyDescent="0.4">
      <c r="A811" s="34" t="s">
        <v>113</v>
      </c>
      <c r="B811" s="40"/>
      <c r="C811" s="40"/>
      <c r="D811" s="40"/>
      <c r="E811" s="51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7"/>
    </row>
    <row r="812" spans="1:19" x14ac:dyDescent="0.25">
      <c r="A812" s="59"/>
      <c r="B812" s="58"/>
      <c r="C812" s="58"/>
      <c r="D812" s="58"/>
      <c r="E812" s="58">
        <f t="shared" ref="E812" si="230">+B812+C812+D812</f>
        <v>0</v>
      </c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7"/>
    </row>
    <row r="813" spans="1:19" x14ac:dyDescent="0.25"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7"/>
    </row>
    <row r="814" spans="1:19" x14ac:dyDescent="0.25"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7"/>
    </row>
    <row r="815" spans="1:19" ht="18.75" x14ac:dyDescent="0.4">
      <c r="A815" s="168" t="s">
        <v>79</v>
      </c>
      <c r="B815" s="168"/>
      <c r="C815" s="168"/>
      <c r="D815" s="168"/>
      <c r="E815" s="168"/>
      <c r="F815" s="158"/>
      <c r="G815" s="15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7"/>
    </row>
    <row r="816" spans="1:19" x14ac:dyDescent="0.25"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7"/>
    </row>
    <row r="817" spans="1:34" ht="30" x14ac:dyDescent="0.25">
      <c r="A817" s="33" t="s">
        <v>105</v>
      </c>
      <c r="B817" s="38" t="s">
        <v>106</v>
      </c>
      <c r="C817" s="38" t="s">
        <v>107</v>
      </c>
      <c r="D817" s="38" t="s">
        <v>108</v>
      </c>
      <c r="E817" s="38" t="s">
        <v>109</v>
      </c>
      <c r="F817" s="138"/>
      <c r="G817" s="38" t="s">
        <v>192</v>
      </c>
      <c r="H817" s="38" t="s">
        <v>193</v>
      </c>
      <c r="I817" s="38" t="s">
        <v>194</v>
      </c>
      <c r="J817" s="38" t="s">
        <v>195</v>
      </c>
      <c r="K817" s="38" t="s">
        <v>196</v>
      </c>
      <c r="L817" s="38" t="s">
        <v>197</v>
      </c>
      <c r="M817" s="38" t="s">
        <v>198</v>
      </c>
      <c r="N817" s="38" t="s">
        <v>199</v>
      </c>
      <c r="O817" s="38" t="s">
        <v>200</v>
      </c>
      <c r="P817" s="38" t="s">
        <v>201</v>
      </c>
      <c r="Q817" s="38" t="s">
        <v>202</v>
      </c>
      <c r="R817" s="38" t="s">
        <v>203</v>
      </c>
      <c r="S817" s="137"/>
    </row>
    <row r="818" spans="1:34" ht="18.75" x14ac:dyDescent="0.4">
      <c r="A818" s="32" t="s">
        <v>110</v>
      </c>
      <c r="B818" s="37">
        <f>SUM(B819:B854)</f>
        <v>1271942.71</v>
      </c>
      <c r="C818" s="134">
        <f>SUM(C819:C854)</f>
        <v>1103111.73</v>
      </c>
      <c r="D818" s="37">
        <f>SUM(D819:D854)</f>
        <v>0</v>
      </c>
      <c r="E818" s="37">
        <f>SUM(E819:E854)</f>
        <v>2375054.4399999995</v>
      </c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7"/>
    </row>
    <row r="819" spans="1:34" s="3" customFormat="1" ht="11.25" customHeight="1" x14ac:dyDescent="0.2">
      <c r="A819" s="59" t="s">
        <v>1</v>
      </c>
      <c r="B819" s="52">
        <v>1943.6999999999825</v>
      </c>
      <c r="C819" s="130">
        <v>226033.01</v>
      </c>
      <c r="D819" s="58"/>
      <c r="E819" s="58">
        <f>+B819+C819+D819</f>
        <v>227976.71</v>
      </c>
      <c r="F819" s="138">
        <f t="shared" ref="F819:F842" si="231">SUM(G819:R819)</f>
        <v>227976.71</v>
      </c>
      <c r="G819" s="138">
        <v>30853.97</v>
      </c>
      <c r="H819" s="138">
        <v>27583.97</v>
      </c>
      <c r="I819" s="138">
        <v>29808.68</v>
      </c>
      <c r="J819" s="138">
        <v>21893.91</v>
      </c>
      <c r="K819" s="138">
        <f>11706.85+1943.7</f>
        <v>13650.550000000001</v>
      </c>
      <c r="L819" s="138">
        <f>27503.51-8274.77</f>
        <v>19228.739999999998</v>
      </c>
      <c r="M819" s="138">
        <v>0</v>
      </c>
      <c r="N819" s="138">
        <v>30422.12</v>
      </c>
      <c r="O819" s="138">
        <v>-70499.13</v>
      </c>
      <c r="P819" s="138">
        <v>46590.46</v>
      </c>
      <c r="Q819" s="138">
        <v>37833.47</v>
      </c>
      <c r="R819" s="138">
        <v>40609.97</v>
      </c>
      <c r="S819" s="138"/>
      <c r="U819" s="4"/>
      <c r="W819" s="4"/>
      <c r="Y819" s="4"/>
      <c r="AA819" s="4"/>
      <c r="AC819" s="4"/>
      <c r="AE819" s="4"/>
      <c r="AG819" s="4"/>
    </row>
    <row r="820" spans="1:34" s="3" customFormat="1" ht="11.25" customHeight="1" x14ac:dyDescent="0.15">
      <c r="A820" s="59" t="s">
        <v>3</v>
      </c>
      <c r="B820" s="52">
        <v>48966.270000000004</v>
      </c>
      <c r="C820" s="120">
        <v>37167.11</v>
      </c>
      <c r="D820" s="58"/>
      <c r="E820" s="58">
        <f t="shared" ref="E820:E842" si="232">+B820+C820+D820</f>
        <v>86133.38</v>
      </c>
      <c r="F820" s="138">
        <f t="shared" si="231"/>
        <v>86133.38</v>
      </c>
      <c r="G820" s="138">
        <v>0</v>
      </c>
      <c r="H820" s="138">
        <v>0</v>
      </c>
      <c r="I820" s="138">
        <v>644.24</v>
      </c>
      <c r="J820" s="138">
        <f>612.96+11204.27</f>
        <v>11817.23</v>
      </c>
      <c r="K820" s="138">
        <v>9071.9599999999991</v>
      </c>
      <c r="L820" s="138">
        <v>378.73</v>
      </c>
      <c r="M820" s="138">
        <v>15537.91</v>
      </c>
      <c r="N820" s="138">
        <v>594.91999999999996</v>
      </c>
      <c r="O820" s="138">
        <v>10326.39</v>
      </c>
      <c r="P820" s="138">
        <v>8970</v>
      </c>
      <c r="Q820" s="138">
        <v>28792</v>
      </c>
      <c r="R820" s="138">
        <v>0</v>
      </c>
      <c r="S820" s="138"/>
      <c r="T820" s="7"/>
      <c r="U820" s="8"/>
      <c r="V820" s="7"/>
      <c r="W820" s="8"/>
      <c r="X820" s="7"/>
      <c r="Y820" s="8"/>
      <c r="Z820" s="7"/>
      <c r="AA820" s="8"/>
      <c r="AB820" s="7"/>
      <c r="AC820" s="8"/>
      <c r="AD820" s="7"/>
      <c r="AE820" s="8"/>
      <c r="AF820" s="7"/>
      <c r="AG820" s="8"/>
      <c r="AH820" s="7"/>
    </row>
    <row r="821" spans="1:34" s="3" customFormat="1" ht="11.25" customHeight="1" x14ac:dyDescent="0.15">
      <c r="A821" s="59" t="s">
        <v>67</v>
      </c>
      <c r="B821" s="52">
        <v>0</v>
      </c>
      <c r="C821" s="120"/>
      <c r="D821" s="58"/>
      <c r="E821" s="58">
        <f t="shared" si="232"/>
        <v>0</v>
      </c>
      <c r="F821" s="138">
        <f t="shared" si="231"/>
        <v>0</v>
      </c>
      <c r="G821" s="138">
        <v>0</v>
      </c>
      <c r="H821" s="138">
        <v>0</v>
      </c>
      <c r="I821" s="138">
        <v>0</v>
      </c>
      <c r="J821" s="138">
        <v>0</v>
      </c>
      <c r="K821" s="138">
        <v>0</v>
      </c>
      <c r="L821" s="138">
        <v>0</v>
      </c>
      <c r="M821" s="138">
        <v>0</v>
      </c>
      <c r="N821" s="138">
        <v>0</v>
      </c>
      <c r="O821" s="138">
        <v>0</v>
      </c>
      <c r="P821" s="138">
        <v>0</v>
      </c>
      <c r="Q821" s="138">
        <v>0</v>
      </c>
      <c r="R821" s="138">
        <v>0</v>
      </c>
      <c r="S821" s="138"/>
      <c r="T821" s="7"/>
      <c r="U821" s="8"/>
      <c r="V821" s="7"/>
      <c r="W821" s="8"/>
      <c r="X821" s="7"/>
      <c r="Y821" s="8"/>
      <c r="Z821" s="7"/>
      <c r="AA821" s="8"/>
      <c r="AB821" s="7"/>
      <c r="AC821" s="8"/>
      <c r="AD821" s="7"/>
      <c r="AE821" s="8"/>
      <c r="AF821" s="7"/>
      <c r="AG821" s="8"/>
      <c r="AH821" s="7"/>
    </row>
    <row r="822" spans="1:34" x14ac:dyDescent="0.25">
      <c r="A822" s="59" t="s">
        <v>6</v>
      </c>
      <c r="B822" s="67">
        <v>1067.5</v>
      </c>
      <c r="C822" s="131">
        <v>5752.49</v>
      </c>
      <c r="D822" s="58"/>
      <c r="E822" s="58">
        <f t="shared" si="232"/>
        <v>6819.99</v>
      </c>
      <c r="F822" s="138">
        <f t="shared" si="231"/>
        <v>6819.99</v>
      </c>
      <c r="G822" s="138">
        <v>0</v>
      </c>
      <c r="H822" s="138">
        <v>0</v>
      </c>
      <c r="I822" s="138">
        <v>1067.5</v>
      </c>
      <c r="J822" s="138">
        <v>593.99</v>
      </c>
      <c r="K822" s="138">
        <v>567</v>
      </c>
      <c r="L822" s="138">
        <v>0</v>
      </c>
      <c r="M822" s="138">
        <v>3516.5</v>
      </c>
      <c r="N822" s="138">
        <v>0</v>
      </c>
      <c r="O822" s="138">
        <v>1075</v>
      </c>
      <c r="P822" s="138">
        <v>0</v>
      </c>
      <c r="Q822" s="138">
        <v>0</v>
      </c>
      <c r="R822" s="138">
        <v>0</v>
      </c>
      <c r="S822" s="138"/>
    </row>
    <row r="823" spans="1:34" x14ac:dyDescent="0.25">
      <c r="A823" s="59" t="s">
        <v>19</v>
      </c>
      <c r="B823" s="67">
        <v>12897</v>
      </c>
      <c r="C823" s="121">
        <v>0</v>
      </c>
      <c r="D823" s="58"/>
      <c r="E823" s="58">
        <f t="shared" si="232"/>
        <v>12897</v>
      </c>
      <c r="F823" s="138">
        <f t="shared" si="231"/>
        <v>12897</v>
      </c>
      <c r="G823" s="138">
        <v>0</v>
      </c>
      <c r="H823" s="138">
        <v>0</v>
      </c>
      <c r="I823" s="138">
        <v>0</v>
      </c>
      <c r="J823" s="138">
        <v>0</v>
      </c>
      <c r="K823" s="138">
        <v>0</v>
      </c>
      <c r="L823" s="138">
        <v>0</v>
      </c>
      <c r="M823" s="138">
        <v>0</v>
      </c>
      <c r="N823" s="138">
        <v>0</v>
      </c>
      <c r="O823" s="138">
        <v>0</v>
      </c>
      <c r="P823" s="138">
        <v>0</v>
      </c>
      <c r="Q823" s="138">
        <v>12897</v>
      </c>
      <c r="R823" s="138">
        <v>0</v>
      </c>
      <c r="S823" s="138"/>
    </row>
    <row r="824" spans="1:34" x14ac:dyDescent="0.25">
      <c r="A824" s="59" t="s">
        <v>156</v>
      </c>
      <c r="B824" s="67">
        <v>785449.33000000007</v>
      </c>
      <c r="C824" s="121">
        <v>399764.16</v>
      </c>
      <c r="D824" s="58"/>
      <c r="E824" s="58">
        <f t="shared" si="232"/>
        <v>1185213.49</v>
      </c>
      <c r="F824" s="138">
        <f t="shared" si="231"/>
        <v>1185213.49</v>
      </c>
      <c r="G824" s="138">
        <v>0</v>
      </c>
      <c r="H824" s="138">
        <v>0</v>
      </c>
      <c r="I824" s="138">
        <v>1817.11</v>
      </c>
      <c r="J824" s="138">
        <v>6832</v>
      </c>
      <c r="K824" s="138">
        <f>6534+490881.62</f>
        <v>497415.62</v>
      </c>
      <c r="L824" s="138">
        <f>4822.32+151449.71</f>
        <v>156272.03</v>
      </c>
      <c r="M824" s="138">
        <v>297422.15999999997</v>
      </c>
      <c r="N824" s="138">
        <v>27816.78</v>
      </c>
      <c r="O824" s="138">
        <v>54519.79</v>
      </c>
      <c r="P824" s="138">
        <v>62871</v>
      </c>
      <c r="Q824" s="138">
        <v>51273</v>
      </c>
      <c r="R824" s="138">
        <v>28974</v>
      </c>
      <c r="S824" s="138"/>
    </row>
    <row r="825" spans="1:34" x14ac:dyDescent="0.25">
      <c r="A825" s="59" t="s">
        <v>260</v>
      </c>
      <c r="B825" s="67">
        <v>0</v>
      </c>
      <c r="C825" s="121">
        <v>424</v>
      </c>
      <c r="D825" s="58"/>
      <c r="E825" s="58">
        <f t="shared" ref="E825" si="233">+B825+C825+D825</f>
        <v>424</v>
      </c>
      <c r="F825" s="138">
        <f t="shared" ref="F825" si="234">SUM(G825:R825)</f>
        <v>424</v>
      </c>
      <c r="G825" s="138">
        <v>0</v>
      </c>
      <c r="H825" s="138">
        <v>0</v>
      </c>
      <c r="I825" s="138">
        <v>0</v>
      </c>
      <c r="J825" s="138">
        <v>197</v>
      </c>
      <c r="K825" s="138">
        <v>20</v>
      </c>
      <c r="L825" s="138">
        <v>0</v>
      </c>
      <c r="M825" s="138">
        <v>0</v>
      </c>
      <c r="N825" s="138">
        <v>207</v>
      </c>
      <c r="O825" s="138">
        <v>0</v>
      </c>
      <c r="P825" s="138">
        <v>0</v>
      </c>
      <c r="Q825" s="138">
        <v>0</v>
      </c>
      <c r="R825" s="138">
        <v>0</v>
      </c>
      <c r="S825" s="138"/>
    </row>
    <row r="826" spans="1:34" x14ac:dyDescent="0.25">
      <c r="A826" s="59" t="s">
        <v>66</v>
      </c>
      <c r="B826" s="67">
        <v>1.0000000000218279E-2</v>
      </c>
      <c r="C826" s="121">
        <v>4237.28</v>
      </c>
      <c r="D826" s="58"/>
      <c r="E826" s="58">
        <f t="shared" si="232"/>
        <v>4237.29</v>
      </c>
      <c r="F826" s="138">
        <f t="shared" si="231"/>
        <v>4237.29</v>
      </c>
      <c r="G826" s="138">
        <v>0</v>
      </c>
      <c r="H826" s="138">
        <v>0</v>
      </c>
      <c r="I826" s="138">
        <v>1901.28</v>
      </c>
      <c r="J826" s="138">
        <v>749.01</v>
      </c>
      <c r="K826" s="138">
        <v>0</v>
      </c>
      <c r="L826" s="138">
        <v>0</v>
      </c>
      <c r="M826" s="138">
        <v>149</v>
      </c>
      <c r="N826" s="138">
        <v>1438</v>
      </c>
      <c r="O826" s="138">
        <v>0</v>
      </c>
      <c r="P826" s="138">
        <v>0</v>
      </c>
      <c r="Q826" s="138">
        <v>0</v>
      </c>
      <c r="R826" s="138">
        <v>0</v>
      </c>
      <c r="S826" s="138"/>
    </row>
    <row r="827" spans="1:34" x14ac:dyDescent="0.25">
      <c r="A827" s="59" t="s">
        <v>67</v>
      </c>
      <c r="B827" s="67">
        <v>16112.21</v>
      </c>
      <c r="C827" s="121">
        <v>4633.75</v>
      </c>
      <c r="D827" s="58"/>
      <c r="E827" s="58">
        <f t="shared" ref="E827:E836" si="235">+B827+C827+D827</f>
        <v>20745.96</v>
      </c>
      <c r="F827" s="138">
        <f t="shared" ref="F827:F836" si="236">SUM(G827:R827)</f>
        <v>20745.96</v>
      </c>
      <c r="G827" s="138">
        <v>0</v>
      </c>
      <c r="H827" s="138">
        <v>0</v>
      </c>
      <c r="I827" s="138">
        <v>1000</v>
      </c>
      <c r="J827" s="138">
        <f>386.82+2000</f>
        <v>2386.8200000000002</v>
      </c>
      <c r="K827" s="138">
        <f>29361-13239.48</f>
        <v>16121.52</v>
      </c>
      <c r="L827" s="138">
        <v>0</v>
      </c>
      <c r="M827" s="138">
        <v>0</v>
      </c>
      <c r="N827" s="138">
        <v>1237.6199999999999</v>
      </c>
      <c r="O827" s="138">
        <v>0</v>
      </c>
      <c r="P827" s="138">
        <v>0</v>
      </c>
      <c r="Q827" s="138">
        <v>0</v>
      </c>
      <c r="R827" s="138">
        <v>0</v>
      </c>
      <c r="S827" s="138"/>
    </row>
    <row r="828" spans="1:34" x14ac:dyDescent="0.25">
      <c r="A828" s="59" t="s">
        <v>80</v>
      </c>
      <c r="B828" s="67">
        <v>38790</v>
      </c>
      <c r="C828" s="121">
        <v>1439.9</v>
      </c>
      <c r="D828" s="58"/>
      <c r="E828" s="58">
        <f t="shared" si="235"/>
        <v>40229.9</v>
      </c>
      <c r="F828" s="138">
        <f t="shared" si="236"/>
        <v>40229.9</v>
      </c>
      <c r="G828" s="138">
        <v>0</v>
      </c>
      <c r="H828" s="138">
        <v>0</v>
      </c>
      <c r="I828" s="138">
        <v>82.1</v>
      </c>
      <c r="J828" s="138">
        <v>748.83</v>
      </c>
      <c r="K828" s="138">
        <v>473</v>
      </c>
      <c r="L828" s="138">
        <v>0</v>
      </c>
      <c r="M828" s="138">
        <v>0</v>
      </c>
      <c r="N828" s="138">
        <v>0</v>
      </c>
      <c r="O828" s="138">
        <v>135.97</v>
      </c>
      <c r="P828" s="138">
        <v>0</v>
      </c>
      <c r="Q828" s="138">
        <v>38790</v>
      </c>
      <c r="R828" s="138">
        <v>0</v>
      </c>
      <c r="S828" s="138"/>
    </row>
    <row r="829" spans="1:34" x14ac:dyDescent="0.25">
      <c r="A829" s="59" t="s">
        <v>204</v>
      </c>
      <c r="B829" s="67">
        <v>18445.000000000004</v>
      </c>
      <c r="C829" s="121">
        <v>1557.78</v>
      </c>
      <c r="D829" s="58"/>
      <c r="E829" s="58">
        <f t="shared" si="235"/>
        <v>20002.780000000002</v>
      </c>
      <c r="F829" s="138">
        <f t="shared" si="236"/>
        <v>20002.780000000002</v>
      </c>
      <c r="G829" s="138">
        <v>0</v>
      </c>
      <c r="H829" s="138">
        <v>0</v>
      </c>
      <c r="I829" s="138">
        <v>410</v>
      </c>
      <c r="J829" s="138">
        <v>154.52000000000001</v>
      </c>
      <c r="K829" s="138">
        <v>18445</v>
      </c>
      <c r="L829" s="138">
        <f>480+107.22</f>
        <v>587.22</v>
      </c>
      <c r="M829" s="138">
        <v>323</v>
      </c>
      <c r="N829" s="138">
        <v>0</v>
      </c>
      <c r="O829" s="138">
        <v>83.04</v>
      </c>
      <c r="P829" s="138">
        <v>0</v>
      </c>
      <c r="Q829" s="138">
        <v>0</v>
      </c>
      <c r="R829" s="138">
        <v>0</v>
      </c>
      <c r="S829" s="138"/>
    </row>
    <row r="830" spans="1:34" x14ac:dyDescent="0.25">
      <c r="A830" s="59" t="s">
        <v>73</v>
      </c>
      <c r="B830" s="67">
        <v>55865</v>
      </c>
      <c r="C830" s="121"/>
      <c r="D830" s="58"/>
      <c r="E830" s="58">
        <f t="shared" si="235"/>
        <v>55865</v>
      </c>
      <c r="F830" s="138">
        <f t="shared" si="236"/>
        <v>55865</v>
      </c>
      <c r="G830" s="138">
        <v>0</v>
      </c>
      <c r="H830" s="138">
        <v>0</v>
      </c>
      <c r="I830" s="138">
        <v>124</v>
      </c>
      <c r="J830" s="138">
        <v>0</v>
      </c>
      <c r="K830" s="138">
        <v>0</v>
      </c>
      <c r="L830" s="138">
        <v>0</v>
      </c>
      <c r="M830" s="138">
        <v>0</v>
      </c>
      <c r="N830" s="138">
        <v>0</v>
      </c>
      <c r="O830" s="138">
        <v>0</v>
      </c>
      <c r="P830" s="138">
        <v>15870</v>
      </c>
      <c r="Q830" s="138">
        <v>39871</v>
      </c>
      <c r="R830" s="138">
        <v>0</v>
      </c>
      <c r="S830" s="138"/>
    </row>
    <row r="831" spans="1:34" x14ac:dyDescent="0.25">
      <c r="A831" s="59" t="s">
        <v>230</v>
      </c>
      <c r="B831" s="67">
        <v>0</v>
      </c>
      <c r="C831" s="121">
        <v>285</v>
      </c>
      <c r="D831" s="58"/>
      <c r="E831" s="58">
        <f t="shared" si="235"/>
        <v>285</v>
      </c>
      <c r="F831" s="138">
        <f t="shared" si="236"/>
        <v>285</v>
      </c>
      <c r="G831" s="138">
        <v>0</v>
      </c>
      <c r="H831" s="138">
        <v>0</v>
      </c>
      <c r="I831" s="138">
        <v>0</v>
      </c>
      <c r="J831" s="138">
        <v>0</v>
      </c>
      <c r="K831" s="138">
        <v>0</v>
      </c>
      <c r="L831" s="138">
        <v>0</v>
      </c>
      <c r="M831" s="138">
        <v>0</v>
      </c>
      <c r="N831" s="138">
        <v>0</v>
      </c>
      <c r="O831" s="138">
        <v>285</v>
      </c>
      <c r="P831" s="138">
        <v>0</v>
      </c>
      <c r="Q831" s="138">
        <v>0</v>
      </c>
      <c r="R831" s="138">
        <v>0</v>
      </c>
      <c r="S831" s="138"/>
    </row>
    <row r="832" spans="1:34" x14ac:dyDescent="0.25">
      <c r="A832" s="59" t="s">
        <v>247</v>
      </c>
      <c r="B832" s="67">
        <v>0</v>
      </c>
      <c r="C832" s="121">
        <v>8449</v>
      </c>
      <c r="D832" s="58"/>
      <c r="E832" s="58">
        <f t="shared" si="235"/>
        <v>8449</v>
      </c>
      <c r="F832" s="138">
        <f t="shared" si="236"/>
        <v>8449</v>
      </c>
      <c r="G832" s="138">
        <v>0</v>
      </c>
      <c r="H832" s="138">
        <v>0</v>
      </c>
      <c r="I832" s="138">
        <v>0</v>
      </c>
      <c r="J832" s="138">
        <v>0</v>
      </c>
      <c r="K832" s="138">
        <v>0</v>
      </c>
      <c r="L832" s="138">
        <v>396.2</v>
      </c>
      <c r="M832" s="138">
        <v>208.8</v>
      </c>
      <c r="N832" s="138">
        <v>744</v>
      </c>
      <c r="O832" s="138">
        <v>7100</v>
      </c>
      <c r="P832" s="138">
        <v>0</v>
      </c>
      <c r="Q832" s="138">
        <v>0</v>
      </c>
      <c r="R832" s="138">
        <v>0</v>
      </c>
      <c r="S832" s="138"/>
    </row>
    <row r="833" spans="1:19" x14ac:dyDescent="0.25">
      <c r="A833" s="59" t="s">
        <v>62</v>
      </c>
      <c r="B833" s="67">
        <v>49114.879999999997</v>
      </c>
      <c r="C833" s="131">
        <v>12606.83</v>
      </c>
      <c r="D833" s="58"/>
      <c r="E833" s="58">
        <f t="shared" si="235"/>
        <v>61721.71</v>
      </c>
      <c r="F833" s="138">
        <f t="shared" si="236"/>
        <v>61721.71</v>
      </c>
      <c r="G833" s="138">
        <v>0</v>
      </c>
      <c r="H833" s="138">
        <v>0</v>
      </c>
      <c r="I833" s="138">
        <v>0</v>
      </c>
      <c r="J833" s="138">
        <v>0</v>
      </c>
      <c r="K833" s="138">
        <v>3210.88</v>
      </c>
      <c r="L833" s="138">
        <v>0</v>
      </c>
      <c r="M833" s="138">
        <v>1995.2</v>
      </c>
      <c r="N833" s="138">
        <v>5498.04</v>
      </c>
      <c r="O833" s="138">
        <v>5113.59</v>
      </c>
      <c r="P833" s="138">
        <v>4873</v>
      </c>
      <c r="Q833" s="138">
        <v>15897</v>
      </c>
      <c r="R833" s="138">
        <v>25134</v>
      </c>
      <c r="S833" s="138"/>
    </row>
    <row r="834" spans="1:19" x14ac:dyDescent="0.25">
      <c r="A834" s="59" t="s">
        <v>10</v>
      </c>
      <c r="B834" s="67">
        <v>162026.79999999999</v>
      </c>
      <c r="C834" s="121">
        <v>13920</v>
      </c>
      <c r="D834" s="58"/>
      <c r="E834" s="58">
        <f t="shared" si="235"/>
        <v>175946.8</v>
      </c>
      <c r="F834" s="138">
        <f t="shared" si="236"/>
        <v>175946.8</v>
      </c>
      <c r="G834" s="138">
        <v>0</v>
      </c>
      <c r="H834" s="138">
        <v>0</v>
      </c>
      <c r="I834" s="138">
        <v>0</v>
      </c>
      <c r="J834" s="138">
        <v>0</v>
      </c>
      <c r="K834" s="138">
        <v>20232</v>
      </c>
      <c r="L834" s="138">
        <v>13920</v>
      </c>
      <c r="M834" s="138">
        <v>39452.400000000001</v>
      </c>
      <c r="N834" s="138">
        <v>13150.8</v>
      </c>
      <c r="O834" s="138">
        <f>13150.8+13920</f>
        <v>27070.799999999999</v>
      </c>
      <c r="P834" s="138">
        <v>48970</v>
      </c>
      <c r="Q834" s="138">
        <v>13150.8</v>
      </c>
      <c r="R834" s="138">
        <v>0</v>
      </c>
      <c r="S834" s="138"/>
    </row>
    <row r="835" spans="1:19" x14ac:dyDescent="0.25">
      <c r="A835" s="59" t="s">
        <v>231</v>
      </c>
      <c r="B835" s="67">
        <v>0</v>
      </c>
      <c r="C835" s="121">
        <v>1085.76</v>
      </c>
      <c r="D835" s="58"/>
      <c r="E835" s="58">
        <f t="shared" si="235"/>
        <v>1085.76</v>
      </c>
      <c r="F835" s="138">
        <f t="shared" si="236"/>
        <v>1085.76</v>
      </c>
      <c r="G835" s="138">
        <v>0</v>
      </c>
      <c r="H835" s="138">
        <v>0</v>
      </c>
      <c r="I835" s="138">
        <v>0</v>
      </c>
      <c r="J835" s="138">
        <v>0</v>
      </c>
      <c r="K835" s="138">
        <v>1085.76</v>
      </c>
      <c r="L835" s="138">
        <v>0</v>
      </c>
      <c r="M835" s="138">
        <v>0</v>
      </c>
      <c r="N835" s="138">
        <v>0</v>
      </c>
      <c r="O835" s="138">
        <v>0</v>
      </c>
      <c r="P835" s="138">
        <v>0</v>
      </c>
      <c r="Q835" s="138">
        <v>0</v>
      </c>
      <c r="R835" s="138">
        <v>0</v>
      </c>
      <c r="S835" s="138"/>
    </row>
    <row r="836" spans="1:19" x14ac:dyDescent="0.25">
      <c r="A836" s="59" t="s">
        <v>93</v>
      </c>
      <c r="B836" s="67">
        <v>0</v>
      </c>
      <c r="C836" s="121">
        <v>1234.24</v>
      </c>
      <c r="D836" s="58"/>
      <c r="E836" s="58">
        <f t="shared" si="235"/>
        <v>1234.24</v>
      </c>
      <c r="F836" s="138">
        <f t="shared" si="236"/>
        <v>1234.24</v>
      </c>
      <c r="G836" s="138">
        <v>0</v>
      </c>
      <c r="H836" s="138">
        <v>0</v>
      </c>
      <c r="I836" s="138">
        <v>0</v>
      </c>
      <c r="J836" s="138">
        <v>0</v>
      </c>
      <c r="K836" s="138">
        <v>0</v>
      </c>
      <c r="L836" s="138">
        <v>0</v>
      </c>
      <c r="M836" s="138">
        <v>828.24</v>
      </c>
      <c r="N836" s="138">
        <v>0</v>
      </c>
      <c r="O836" s="138">
        <v>406</v>
      </c>
      <c r="P836" s="138">
        <v>0</v>
      </c>
      <c r="Q836" s="138">
        <v>0</v>
      </c>
      <c r="R836" s="138">
        <v>0</v>
      </c>
      <c r="S836" s="138"/>
    </row>
    <row r="837" spans="1:19" x14ac:dyDescent="0.25">
      <c r="A837" s="59" t="s">
        <v>12</v>
      </c>
      <c r="B837" s="67">
        <v>1456.0100000000011</v>
      </c>
      <c r="C837" s="121">
        <v>7725.94</v>
      </c>
      <c r="D837" s="58"/>
      <c r="E837" s="58">
        <f t="shared" si="232"/>
        <v>9181.9500000000007</v>
      </c>
      <c r="F837" s="138">
        <f t="shared" si="231"/>
        <v>9181.9500000000007</v>
      </c>
      <c r="G837" s="138">
        <v>0</v>
      </c>
      <c r="H837" s="138">
        <v>1456.01</v>
      </c>
      <c r="I837" s="138">
        <v>1693.55</v>
      </c>
      <c r="J837" s="138">
        <v>63.12</v>
      </c>
      <c r="K837" s="138">
        <v>2462.14</v>
      </c>
      <c r="L837" s="138">
        <v>0</v>
      </c>
      <c r="M837" s="138">
        <v>439.68</v>
      </c>
      <c r="N837" s="138">
        <v>100.17</v>
      </c>
      <c r="O837" s="138">
        <v>2967.28</v>
      </c>
      <c r="P837" s="138">
        <v>0</v>
      </c>
      <c r="Q837" s="138">
        <v>0</v>
      </c>
      <c r="R837" s="138">
        <v>0</v>
      </c>
      <c r="S837" s="138"/>
    </row>
    <row r="838" spans="1:19" x14ac:dyDescent="0.25">
      <c r="A838" s="59" t="s">
        <v>13</v>
      </c>
      <c r="B838" s="67">
        <v>0</v>
      </c>
      <c r="C838" s="121">
        <v>684.48</v>
      </c>
      <c r="D838" s="58"/>
      <c r="E838" s="58">
        <f t="shared" si="232"/>
        <v>684.48</v>
      </c>
      <c r="F838" s="138">
        <f t="shared" si="231"/>
        <v>684.4799999999999</v>
      </c>
      <c r="G838" s="138">
        <v>0</v>
      </c>
      <c r="H838" s="138">
        <v>0</v>
      </c>
      <c r="I838" s="138">
        <v>0</v>
      </c>
      <c r="J838" s="138">
        <v>76.81</v>
      </c>
      <c r="K838" s="138">
        <v>0</v>
      </c>
      <c r="L838" s="138">
        <v>89</v>
      </c>
      <c r="M838" s="138">
        <v>297.75</v>
      </c>
      <c r="N838" s="138">
        <v>120</v>
      </c>
      <c r="O838" s="138">
        <v>100.92</v>
      </c>
      <c r="P838" s="138">
        <v>0</v>
      </c>
      <c r="Q838" s="138">
        <v>0</v>
      </c>
      <c r="R838" s="138">
        <v>0</v>
      </c>
      <c r="S838" s="138"/>
    </row>
    <row r="839" spans="1:19" x14ac:dyDescent="0.25">
      <c r="A839" s="59" t="s">
        <v>69</v>
      </c>
      <c r="B839" s="52">
        <v>22790</v>
      </c>
      <c r="C839" s="131">
        <v>0</v>
      </c>
      <c r="D839" s="58"/>
      <c r="E839" s="58">
        <f t="shared" si="232"/>
        <v>22790</v>
      </c>
      <c r="F839" s="138">
        <f t="shared" si="231"/>
        <v>22790</v>
      </c>
      <c r="G839" s="138">
        <v>0</v>
      </c>
      <c r="H839" s="138">
        <v>0</v>
      </c>
      <c r="I839" s="138">
        <v>0</v>
      </c>
      <c r="J839" s="138">
        <v>0</v>
      </c>
      <c r="K839" s="138">
        <v>0</v>
      </c>
      <c r="L839" s="138">
        <v>0</v>
      </c>
      <c r="M839" s="138">
        <v>0</v>
      </c>
      <c r="N839" s="138">
        <v>0</v>
      </c>
      <c r="O839" s="138">
        <v>0</v>
      </c>
      <c r="P839" s="138">
        <v>0</v>
      </c>
      <c r="Q839" s="138">
        <v>22790</v>
      </c>
      <c r="R839" s="138">
        <v>0</v>
      </c>
      <c r="S839" s="138"/>
    </row>
    <row r="840" spans="1:19" x14ac:dyDescent="0.25">
      <c r="A840" s="87" t="s">
        <v>70</v>
      </c>
      <c r="B840" s="52">
        <v>57019</v>
      </c>
      <c r="C840" s="131">
        <v>5130.2</v>
      </c>
      <c r="D840" s="58"/>
      <c r="E840" s="58">
        <f t="shared" si="232"/>
        <v>62149.2</v>
      </c>
      <c r="F840" s="138">
        <f t="shared" si="231"/>
        <v>62149.2</v>
      </c>
      <c r="G840" s="138">
        <v>0</v>
      </c>
      <c r="H840" s="138">
        <v>0</v>
      </c>
      <c r="I840" s="138">
        <f>717-192</f>
        <v>525</v>
      </c>
      <c r="J840" s="138">
        <v>0</v>
      </c>
      <c r="K840" s="138">
        <v>429.2</v>
      </c>
      <c r="L840" s="138">
        <v>0</v>
      </c>
      <c r="M840" s="138">
        <v>4176</v>
      </c>
      <c r="N840" s="138">
        <v>0</v>
      </c>
      <c r="O840" s="138">
        <v>0</v>
      </c>
      <c r="P840" s="138">
        <v>0</v>
      </c>
      <c r="Q840" s="138">
        <v>52143</v>
      </c>
      <c r="R840" s="138">
        <v>4876</v>
      </c>
      <c r="S840" s="138"/>
    </row>
    <row r="841" spans="1:19" x14ac:dyDescent="0.25">
      <c r="A841" s="59" t="s">
        <v>36</v>
      </c>
      <c r="B841" s="67">
        <v>0</v>
      </c>
      <c r="C841" s="121">
        <v>4121.3999999999996</v>
      </c>
      <c r="D841" s="58"/>
      <c r="E841" s="58">
        <f t="shared" si="232"/>
        <v>4121.3999999999996</v>
      </c>
      <c r="F841" s="138">
        <f t="shared" si="231"/>
        <v>4121.3999999999996</v>
      </c>
      <c r="G841" s="138">
        <v>0</v>
      </c>
      <c r="H841" s="138">
        <v>0</v>
      </c>
      <c r="I841" s="138">
        <v>0</v>
      </c>
      <c r="J841" s="138">
        <v>0</v>
      </c>
      <c r="K841" s="138">
        <v>0</v>
      </c>
      <c r="L841" s="138">
        <v>0</v>
      </c>
      <c r="M841" s="138">
        <v>4050</v>
      </c>
      <c r="N841" s="138">
        <v>71.400000000000006</v>
      </c>
      <c r="O841" s="138">
        <v>0</v>
      </c>
      <c r="P841" s="138">
        <v>0</v>
      </c>
      <c r="Q841" s="138">
        <v>0</v>
      </c>
      <c r="R841" s="138">
        <v>0</v>
      </c>
      <c r="S841" s="138"/>
    </row>
    <row r="842" spans="1:19" x14ac:dyDescent="0.25">
      <c r="A842" s="59" t="s">
        <v>5</v>
      </c>
      <c r="B842" s="58"/>
      <c r="C842" s="121"/>
      <c r="D842" s="58"/>
      <c r="E842" s="58">
        <f t="shared" si="232"/>
        <v>0</v>
      </c>
      <c r="F842" s="138">
        <f t="shared" si="231"/>
        <v>0</v>
      </c>
      <c r="G842" s="138">
        <v>0</v>
      </c>
      <c r="H842" s="138">
        <v>0</v>
      </c>
      <c r="I842" s="138">
        <v>0</v>
      </c>
      <c r="J842" s="138">
        <v>0</v>
      </c>
      <c r="K842" s="138">
        <v>0</v>
      </c>
      <c r="L842" s="138">
        <v>0</v>
      </c>
      <c r="M842" s="138">
        <v>0</v>
      </c>
      <c r="N842" s="138">
        <v>0</v>
      </c>
      <c r="O842" s="138">
        <v>0</v>
      </c>
      <c r="P842" s="138">
        <v>0</v>
      </c>
      <c r="Q842" s="138">
        <v>0</v>
      </c>
      <c r="R842" s="138">
        <v>0</v>
      </c>
      <c r="S842" s="137"/>
    </row>
    <row r="843" spans="1:19" x14ac:dyDescent="0.25">
      <c r="A843" s="9"/>
      <c r="B843" s="40"/>
      <c r="C843" s="40"/>
      <c r="D843" s="40"/>
      <c r="E843" s="51"/>
      <c r="F843" s="138">
        <f>SUM(E820:E842)</f>
        <v>1780218.3299999998</v>
      </c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7"/>
    </row>
    <row r="844" spans="1:19" ht="18.75" x14ac:dyDescent="0.4">
      <c r="A844" s="32" t="s">
        <v>111</v>
      </c>
      <c r="B844" s="40"/>
      <c r="C844" s="40"/>
      <c r="D844" s="40"/>
      <c r="E844" s="51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7"/>
    </row>
    <row r="845" spans="1:19" x14ac:dyDescent="0.25">
      <c r="A845" s="59"/>
      <c r="B845" s="58"/>
      <c r="C845" s="58"/>
      <c r="D845" s="58"/>
      <c r="E845" s="58">
        <f t="shared" ref="E845:E846" si="237">+B845+C845+D845</f>
        <v>0</v>
      </c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7"/>
    </row>
    <row r="846" spans="1:19" x14ac:dyDescent="0.25">
      <c r="A846" s="59"/>
      <c r="B846" s="58"/>
      <c r="C846" s="58"/>
      <c r="D846" s="58"/>
      <c r="E846" s="58">
        <f t="shared" si="237"/>
        <v>0</v>
      </c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7"/>
    </row>
    <row r="847" spans="1:19" ht="18.75" x14ac:dyDescent="0.4">
      <c r="A847" s="32" t="s">
        <v>112</v>
      </c>
      <c r="B847" s="40"/>
      <c r="C847" s="40"/>
      <c r="D847" s="40"/>
      <c r="E847" s="51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7"/>
    </row>
    <row r="848" spans="1:19" x14ac:dyDescent="0.25">
      <c r="A848" s="60" t="s">
        <v>261</v>
      </c>
      <c r="B848" s="58">
        <v>0</v>
      </c>
      <c r="C848" s="58">
        <v>17660.89</v>
      </c>
      <c r="D848" s="58"/>
      <c r="E848" s="58">
        <f t="shared" ref="E848:E849" si="238">+B848+C848+D848</f>
        <v>17660.89</v>
      </c>
      <c r="F848" s="138">
        <f t="shared" ref="F848" si="239">SUM(G848:R848)</f>
        <v>17660.89</v>
      </c>
      <c r="G848" s="138">
        <v>0</v>
      </c>
      <c r="H848" s="138">
        <v>0</v>
      </c>
      <c r="I848" s="138">
        <v>2660.89</v>
      </c>
      <c r="J848" s="138">
        <v>0</v>
      </c>
      <c r="K848" s="138">
        <v>0</v>
      </c>
      <c r="L848" s="138">
        <v>0</v>
      </c>
      <c r="M848" s="138">
        <v>15000</v>
      </c>
      <c r="N848" s="138">
        <v>0</v>
      </c>
      <c r="O848" s="138">
        <v>0</v>
      </c>
      <c r="P848" s="138">
        <v>0</v>
      </c>
      <c r="Q848" s="138">
        <v>0</v>
      </c>
      <c r="R848" s="138">
        <v>0</v>
      </c>
      <c r="S848" s="137"/>
    </row>
    <row r="849" spans="1:34" x14ac:dyDescent="0.25">
      <c r="A849" s="60" t="s">
        <v>75</v>
      </c>
      <c r="B849" s="61">
        <v>0</v>
      </c>
      <c r="C849" s="58"/>
      <c r="D849" s="58"/>
      <c r="E849" s="58">
        <f t="shared" si="238"/>
        <v>0</v>
      </c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7"/>
    </row>
    <row r="850" spans="1:34" ht="18.75" x14ac:dyDescent="0.4">
      <c r="A850" s="34" t="s">
        <v>113</v>
      </c>
      <c r="B850" s="40"/>
      <c r="C850" s="40"/>
      <c r="D850" s="40"/>
      <c r="E850" s="51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7"/>
    </row>
    <row r="851" spans="1:34" x14ac:dyDescent="0.25">
      <c r="A851" s="92" t="s">
        <v>137</v>
      </c>
      <c r="B851" s="98">
        <v>0</v>
      </c>
      <c r="C851" s="98">
        <v>295800</v>
      </c>
      <c r="D851" s="58"/>
      <c r="E851" s="58">
        <f t="shared" ref="E851:E855" si="240">+B851+C851+D851</f>
        <v>295800</v>
      </c>
      <c r="F851" s="138">
        <f t="shared" ref="F851:F855" si="241">SUM(G851:R851)</f>
        <v>295800</v>
      </c>
      <c r="G851" s="138">
        <v>0</v>
      </c>
      <c r="H851" s="138">
        <v>0</v>
      </c>
      <c r="I851" s="138">
        <v>0</v>
      </c>
      <c r="J851" s="138">
        <v>0</v>
      </c>
      <c r="K851" s="138">
        <v>0</v>
      </c>
      <c r="L851" s="138">
        <v>0</v>
      </c>
      <c r="M851" s="138">
        <v>0</v>
      </c>
      <c r="N851" s="138">
        <v>0</v>
      </c>
      <c r="O851" s="138">
        <v>0</v>
      </c>
      <c r="P851" s="138">
        <v>295800</v>
      </c>
      <c r="Q851" s="138">
        <v>0</v>
      </c>
      <c r="R851" s="138">
        <v>0</v>
      </c>
      <c r="S851" s="137"/>
    </row>
    <row r="852" spans="1:34" x14ac:dyDescent="0.25">
      <c r="A852" s="92" t="s">
        <v>138</v>
      </c>
      <c r="B852" s="96">
        <v>0</v>
      </c>
      <c r="C852" s="96">
        <v>48599.51</v>
      </c>
      <c r="D852" s="58"/>
      <c r="E852" s="58">
        <f t="shared" si="240"/>
        <v>48599.51</v>
      </c>
      <c r="F852" s="138">
        <f t="shared" si="241"/>
        <v>48599.51</v>
      </c>
      <c r="G852" s="138">
        <v>0</v>
      </c>
      <c r="H852" s="138">
        <v>0</v>
      </c>
      <c r="I852" s="138">
        <v>0</v>
      </c>
      <c r="J852" s="138">
        <v>0</v>
      </c>
      <c r="K852" s="138">
        <v>0</v>
      </c>
      <c r="L852" s="138">
        <v>0</v>
      </c>
      <c r="M852" s="138">
        <v>0</v>
      </c>
      <c r="N852" s="138">
        <v>0</v>
      </c>
      <c r="O852" s="138">
        <v>0</v>
      </c>
      <c r="P852" s="138">
        <v>48599.51</v>
      </c>
      <c r="Q852" s="138">
        <v>0</v>
      </c>
      <c r="R852" s="138">
        <v>0</v>
      </c>
      <c r="S852" s="137"/>
    </row>
    <row r="853" spans="1:34" x14ac:dyDescent="0.25">
      <c r="A853" s="92" t="s">
        <v>179</v>
      </c>
      <c r="B853" s="98">
        <v>0</v>
      </c>
      <c r="C853" s="98">
        <v>0</v>
      </c>
      <c r="D853" s="58"/>
      <c r="E853" s="58">
        <f t="shared" si="240"/>
        <v>0</v>
      </c>
      <c r="F853" s="138">
        <f t="shared" si="241"/>
        <v>0</v>
      </c>
      <c r="G853" s="138">
        <v>0</v>
      </c>
      <c r="H853" s="138">
        <v>0</v>
      </c>
      <c r="I853" s="138">
        <v>0</v>
      </c>
      <c r="J853" s="138">
        <v>0</v>
      </c>
      <c r="K853" s="138">
        <v>0</v>
      </c>
      <c r="L853" s="138">
        <v>0</v>
      </c>
      <c r="M853" s="138">
        <v>0</v>
      </c>
      <c r="N853" s="138">
        <v>0</v>
      </c>
      <c r="O853" s="138">
        <v>0</v>
      </c>
      <c r="P853" s="138">
        <v>0</v>
      </c>
      <c r="Q853" s="138">
        <v>0</v>
      </c>
      <c r="R853" s="138">
        <v>0</v>
      </c>
      <c r="S853" s="137"/>
    </row>
    <row r="854" spans="1:34" x14ac:dyDescent="0.25">
      <c r="A854" s="92" t="s">
        <v>142</v>
      </c>
      <c r="B854" s="96">
        <v>0</v>
      </c>
      <c r="C854" s="96">
        <v>4799</v>
      </c>
      <c r="D854" s="58"/>
      <c r="E854" s="58">
        <f t="shared" si="240"/>
        <v>4799</v>
      </c>
      <c r="F854" s="138">
        <f t="shared" si="241"/>
        <v>4799</v>
      </c>
      <c r="G854" s="138">
        <v>0</v>
      </c>
      <c r="H854" s="138">
        <v>0</v>
      </c>
      <c r="I854" s="138">
        <v>0</v>
      </c>
      <c r="J854" s="138">
        <v>0</v>
      </c>
      <c r="K854" s="138">
        <v>0</v>
      </c>
      <c r="L854" s="138">
        <v>0</v>
      </c>
      <c r="M854" s="138">
        <v>0</v>
      </c>
      <c r="N854" s="138">
        <v>4799</v>
      </c>
      <c r="O854" s="138">
        <v>0</v>
      </c>
      <c r="P854" s="138">
        <v>0</v>
      </c>
      <c r="Q854" s="138">
        <v>0</v>
      </c>
      <c r="R854" s="138">
        <v>0</v>
      </c>
      <c r="S854" s="137"/>
    </row>
    <row r="855" spans="1:34" x14ac:dyDescent="0.25">
      <c r="A855" s="92" t="s">
        <v>275</v>
      </c>
      <c r="B855" s="96">
        <v>0</v>
      </c>
      <c r="C855" s="96">
        <v>13000</v>
      </c>
      <c r="D855" s="58"/>
      <c r="E855" s="58">
        <f t="shared" si="240"/>
        <v>13000</v>
      </c>
      <c r="F855" s="138">
        <f t="shared" si="241"/>
        <v>13000</v>
      </c>
      <c r="G855" s="138">
        <v>0</v>
      </c>
      <c r="H855" s="138">
        <v>0</v>
      </c>
      <c r="I855" s="138">
        <v>0</v>
      </c>
      <c r="J855" s="138">
        <v>0</v>
      </c>
      <c r="K855" s="138">
        <v>13000</v>
      </c>
      <c r="L855" s="138">
        <v>0</v>
      </c>
      <c r="M855" s="138">
        <v>0</v>
      </c>
      <c r="N855" s="138">
        <v>0</v>
      </c>
      <c r="O855" s="138">
        <v>0</v>
      </c>
      <c r="P855" s="138">
        <v>0</v>
      </c>
      <c r="Q855" s="138">
        <v>0</v>
      </c>
      <c r="R855" s="138">
        <v>0</v>
      </c>
      <c r="S855" s="137"/>
    </row>
    <row r="856" spans="1:34" x14ac:dyDescent="0.25">
      <c r="A856" s="9"/>
      <c r="B856" s="40"/>
      <c r="C856" s="40"/>
      <c r="D856" s="40"/>
      <c r="E856" s="51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7"/>
    </row>
    <row r="857" spans="1:34" x14ac:dyDescent="0.25">
      <c r="A857" s="9"/>
      <c r="B857" s="40"/>
      <c r="C857" s="40"/>
      <c r="D857" s="40"/>
      <c r="E857" s="51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7"/>
    </row>
    <row r="858" spans="1:34" x14ac:dyDescent="0.25">
      <c r="A858" s="9"/>
      <c r="B858" s="40"/>
      <c r="C858" s="40"/>
      <c r="D858" s="40"/>
      <c r="E858" s="51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7"/>
    </row>
    <row r="859" spans="1:34" ht="15.75" x14ac:dyDescent="0.3">
      <c r="A859" s="170" t="s">
        <v>236</v>
      </c>
      <c r="B859" s="170"/>
      <c r="C859" s="170"/>
      <c r="D859" s="170"/>
      <c r="E859" s="170"/>
      <c r="F859" s="150"/>
      <c r="G859" s="150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7"/>
    </row>
    <row r="860" spans="1:34" x14ac:dyDescent="0.25">
      <c r="A860" s="23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7"/>
    </row>
    <row r="861" spans="1:34" ht="30" x14ac:dyDescent="0.25">
      <c r="A861" s="33" t="s">
        <v>105</v>
      </c>
      <c r="B861" s="38" t="s">
        <v>106</v>
      </c>
      <c r="C861" s="38" t="s">
        <v>107</v>
      </c>
      <c r="D861" s="38" t="s">
        <v>108</v>
      </c>
      <c r="E861" s="38" t="s">
        <v>109</v>
      </c>
      <c r="F861" s="138"/>
      <c r="G861" s="38" t="s">
        <v>192</v>
      </c>
      <c r="H861" s="38" t="s">
        <v>193</v>
      </c>
      <c r="I861" s="38" t="s">
        <v>194</v>
      </c>
      <c r="J861" s="38" t="s">
        <v>195</v>
      </c>
      <c r="K861" s="38" t="s">
        <v>196</v>
      </c>
      <c r="L861" s="38" t="s">
        <v>197</v>
      </c>
      <c r="M861" s="38" t="s">
        <v>198</v>
      </c>
      <c r="N861" s="38" t="s">
        <v>199</v>
      </c>
      <c r="O861" s="38" t="s">
        <v>200</v>
      </c>
      <c r="P861" s="38" t="s">
        <v>201</v>
      </c>
      <c r="Q861" s="38" t="s">
        <v>202</v>
      </c>
      <c r="R861" s="38" t="s">
        <v>203</v>
      </c>
      <c r="S861" s="137"/>
    </row>
    <row r="862" spans="1:34" ht="18.75" x14ac:dyDescent="0.4">
      <c r="A862" s="32" t="s">
        <v>110</v>
      </c>
      <c r="B862" s="37">
        <f>SUM(B863:B886)</f>
        <v>0</v>
      </c>
      <c r="C862" s="134">
        <f t="shared" ref="C862:E862" si="242">SUM(C863:C886)</f>
        <v>3666546.6100000003</v>
      </c>
      <c r="D862" s="37">
        <f t="shared" si="242"/>
        <v>0</v>
      </c>
      <c r="E862" s="134">
        <f t="shared" si="242"/>
        <v>3666546.6100000003</v>
      </c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7"/>
    </row>
    <row r="863" spans="1:34" s="3" customFormat="1" ht="11.25" customHeight="1" x14ac:dyDescent="0.15">
      <c r="A863" s="59" t="s">
        <v>1</v>
      </c>
      <c r="B863" s="52">
        <v>0</v>
      </c>
      <c r="C863" s="58"/>
      <c r="D863" s="58"/>
      <c r="E863" s="58">
        <f t="shared" ref="E863:E875" si="243">+B863+C863+D863</f>
        <v>0</v>
      </c>
      <c r="F863" s="138">
        <f t="shared" ref="F863:F875" si="244">SUM(G863:R863)</f>
        <v>0</v>
      </c>
      <c r="G863" s="138">
        <v>0</v>
      </c>
      <c r="H863" s="138">
        <v>0</v>
      </c>
      <c r="I863" s="138">
        <v>0</v>
      </c>
      <c r="J863" s="138">
        <v>0</v>
      </c>
      <c r="K863" s="138">
        <v>0</v>
      </c>
      <c r="L863" s="138">
        <v>0</v>
      </c>
      <c r="M863" s="138">
        <v>0</v>
      </c>
      <c r="N863" s="138">
        <v>0</v>
      </c>
      <c r="O863" s="138">
        <v>0</v>
      </c>
      <c r="P863" s="138">
        <v>0</v>
      </c>
      <c r="Q863" s="138">
        <v>0</v>
      </c>
      <c r="R863" s="138">
        <v>0</v>
      </c>
      <c r="S863" s="139"/>
      <c r="U863" s="4"/>
      <c r="W863" s="4"/>
      <c r="Y863" s="4"/>
      <c r="AA863" s="4"/>
      <c r="AC863" s="4"/>
      <c r="AE863" s="4"/>
      <c r="AG863" s="4"/>
    </row>
    <row r="864" spans="1:34" s="3" customFormat="1" ht="11.25" customHeight="1" x14ac:dyDescent="0.15">
      <c r="A864" s="59" t="s">
        <v>2</v>
      </c>
      <c r="B864" s="52">
        <v>0</v>
      </c>
      <c r="C864" s="52"/>
      <c r="D864" s="58"/>
      <c r="E864" s="58">
        <f t="shared" si="243"/>
        <v>0</v>
      </c>
      <c r="F864" s="138">
        <f t="shared" si="244"/>
        <v>0</v>
      </c>
      <c r="G864" s="138">
        <v>0</v>
      </c>
      <c r="H864" s="138">
        <v>0</v>
      </c>
      <c r="I864" s="138">
        <v>0</v>
      </c>
      <c r="J864" s="138">
        <v>0</v>
      </c>
      <c r="K864" s="138">
        <v>0</v>
      </c>
      <c r="L864" s="138">
        <v>0</v>
      </c>
      <c r="M864" s="138">
        <v>0</v>
      </c>
      <c r="N864" s="138">
        <v>0</v>
      </c>
      <c r="O864" s="138">
        <v>0</v>
      </c>
      <c r="P864" s="138">
        <v>0</v>
      </c>
      <c r="Q864" s="138">
        <v>0</v>
      </c>
      <c r="R864" s="138">
        <v>0</v>
      </c>
      <c r="S864" s="140"/>
      <c r="T864" s="7"/>
      <c r="U864" s="8"/>
      <c r="V864" s="7"/>
      <c r="W864" s="8"/>
      <c r="X864" s="7"/>
      <c r="Y864" s="8"/>
      <c r="Z864" s="7"/>
      <c r="AA864" s="8"/>
      <c r="AB864" s="7"/>
      <c r="AC864" s="8"/>
      <c r="AD864" s="7"/>
      <c r="AE864" s="8"/>
      <c r="AF864" s="7"/>
      <c r="AG864" s="8"/>
      <c r="AH864" s="7"/>
    </row>
    <row r="865" spans="1:35" s="3" customFormat="1" ht="11.25" customHeight="1" x14ac:dyDescent="0.15">
      <c r="A865" s="59" t="s">
        <v>3</v>
      </c>
      <c r="B865" s="52">
        <v>0</v>
      </c>
      <c r="C865" s="52"/>
      <c r="D865" s="58"/>
      <c r="E865" s="58">
        <f t="shared" si="243"/>
        <v>0</v>
      </c>
      <c r="F865" s="138">
        <f t="shared" si="244"/>
        <v>0</v>
      </c>
      <c r="G865" s="138">
        <v>0</v>
      </c>
      <c r="H865" s="138">
        <v>0</v>
      </c>
      <c r="I865" s="138">
        <v>0</v>
      </c>
      <c r="J865" s="138">
        <v>0</v>
      </c>
      <c r="K865" s="138">
        <v>0</v>
      </c>
      <c r="L865" s="138">
        <v>0</v>
      </c>
      <c r="M865" s="138">
        <v>0</v>
      </c>
      <c r="N865" s="138">
        <v>0</v>
      </c>
      <c r="O865" s="138">
        <v>0</v>
      </c>
      <c r="P865" s="138">
        <v>0</v>
      </c>
      <c r="Q865" s="138">
        <v>0</v>
      </c>
      <c r="R865" s="138">
        <v>0</v>
      </c>
      <c r="S865" s="140"/>
      <c r="T865" s="7"/>
      <c r="U865" s="8"/>
      <c r="V865" s="7"/>
      <c r="W865" s="8"/>
      <c r="X865" s="7"/>
      <c r="Y865" s="8"/>
      <c r="Z865" s="7"/>
      <c r="AA865" s="8"/>
      <c r="AB865" s="7"/>
      <c r="AC865" s="8"/>
      <c r="AD865" s="7"/>
      <c r="AE865" s="8"/>
      <c r="AF865" s="7"/>
      <c r="AG865" s="8"/>
      <c r="AH865" s="7"/>
    </row>
    <row r="866" spans="1:35" s="3" customFormat="1" ht="11.25" customHeight="1" x14ac:dyDescent="0.15">
      <c r="A866" s="87" t="s">
        <v>77</v>
      </c>
      <c r="B866" s="52">
        <v>0</v>
      </c>
      <c r="C866" s="50"/>
      <c r="D866" s="50"/>
      <c r="E866" s="58">
        <f t="shared" si="243"/>
        <v>0</v>
      </c>
      <c r="F866" s="138">
        <f t="shared" si="244"/>
        <v>0</v>
      </c>
      <c r="G866" s="138">
        <v>0</v>
      </c>
      <c r="H866" s="138">
        <v>0</v>
      </c>
      <c r="I866" s="138">
        <v>0</v>
      </c>
      <c r="J866" s="138">
        <v>0</v>
      </c>
      <c r="K866" s="138">
        <v>0</v>
      </c>
      <c r="L866" s="138">
        <v>0</v>
      </c>
      <c r="M866" s="138">
        <v>0</v>
      </c>
      <c r="N866" s="138">
        <v>0</v>
      </c>
      <c r="O866" s="138">
        <v>0</v>
      </c>
      <c r="P866" s="138">
        <v>0</v>
      </c>
      <c r="Q866" s="138">
        <v>0</v>
      </c>
      <c r="R866" s="138">
        <v>0</v>
      </c>
      <c r="S866" s="140"/>
      <c r="T866" s="7"/>
      <c r="U866" s="8"/>
      <c r="V866" s="7"/>
      <c r="W866" s="8"/>
      <c r="X866" s="7"/>
      <c r="Y866" s="8"/>
      <c r="Z866" s="7"/>
      <c r="AA866" s="8"/>
      <c r="AB866" s="7"/>
      <c r="AC866" s="8"/>
      <c r="AD866" s="7"/>
      <c r="AE866" s="8"/>
      <c r="AF866" s="7"/>
      <c r="AG866" s="8"/>
      <c r="AH866" s="7"/>
      <c r="AI866" s="9"/>
    </row>
    <row r="867" spans="1:35" s="3" customFormat="1" ht="11.25" customHeight="1" x14ac:dyDescent="0.15">
      <c r="A867" s="59" t="s">
        <v>66</v>
      </c>
      <c r="B867" s="52">
        <v>0</v>
      </c>
      <c r="C867" s="52"/>
      <c r="D867" s="58"/>
      <c r="E867" s="58">
        <f t="shared" si="243"/>
        <v>0</v>
      </c>
      <c r="F867" s="138">
        <f t="shared" si="244"/>
        <v>0</v>
      </c>
      <c r="G867" s="138">
        <v>0</v>
      </c>
      <c r="H867" s="138">
        <v>0</v>
      </c>
      <c r="I867" s="138">
        <v>0</v>
      </c>
      <c r="J867" s="138">
        <v>0</v>
      </c>
      <c r="K867" s="138">
        <v>0</v>
      </c>
      <c r="L867" s="138">
        <v>0</v>
      </c>
      <c r="M867" s="138">
        <v>0</v>
      </c>
      <c r="N867" s="138">
        <v>0</v>
      </c>
      <c r="O867" s="138">
        <v>0</v>
      </c>
      <c r="P867" s="138">
        <v>0</v>
      </c>
      <c r="Q867" s="138">
        <v>0</v>
      </c>
      <c r="R867" s="138">
        <v>0</v>
      </c>
      <c r="S867" s="140"/>
      <c r="T867" s="7"/>
      <c r="U867" s="8"/>
      <c r="V867" s="7"/>
      <c r="W867" s="8"/>
      <c r="X867" s="7"/>
      <c r="Y867" s="8"/>
      <c r="Z867" s="7"/>
      <c r="AA867" s="8"/>
      <c r="AB867" s="7"/>
      <c r="AC867" s="8"/>
      <c r="AD867" s="7"/>
      <c r="AE867" s="8"/>
      <c r="AF867" s="7"/>
      <c r="AG867" s="8"/>
      <c r="AH867" s="7"/>
    </row>
    <row r="868" spans="1:35" s="3" customFormat="1" ht="11.25" customHeight="1" x14ac:dyDescent="0.15">
      <c r="A868" s="59" t="s">
        <v>67</v>
      </c>
      <c r="B868" s="52">
        <v>0</v>
      </c>
      <c r="C868" s="52"/>
      <c r="D868" s="58"/>
      <c r="E868" s="58">
        <f t="shared" si="243"/>
        <v>0</v>
      </c>
      <c r="F868" s="138">
        <f t="shared" si="244"/>
        <v>0</v>
      </c>
      <c r="G868" s="138">
        <v>0</v>
      </c>
      <c r="H868" s="138">
        <v>0</v>
      </c>
      <c r="I868" s="138">
        <v>0</v>
      </c>
      <c r="J868" s="138">
        <v>0</v>
      </c>
      <c r="K868" s="138">
        <v>0</v>
      </c>
      <c r="L868" s="138">
        <v>0</v>
      </c>
      <c r="M868" s="138">
        <v>0</v>
      </c>
      <c r="N868" s="138">
        <v>0</v>
      </c>
      <c r="O868" s="138">
        <v>0</v>
      </c>
      <c r="P868" s="138">
        <v>0</v>
      </c>
      <c r="Q868" s="138">
        <v>0</v>
      </c>
      <c r="R868" s="138">
        <v>0</v>
      </c>
      <c r="S868" s="140"/>
      <c r="T868" s="7"/>
      <c r="U868" s="8"/>
      <c r="V868" s="7"/>
      <c r="W868" s="8"/>
      <c r="X868" s="7"/>
      <c r="Y868" s="8"/>
      <c r="Z868" s="7"/>
      <c r="AA868" s="8"/>
      <c r="AB868" s="7"/>
      <c r="AC868" s="8"/>
      <c r="AD868" s="7"/>
      <c r="AE868" s="8"/>
      <c r="AF868" s="7"/>
      <c r="AG868" s="8"/>
      <c r="AH868" s="7"/>
    </row>
    <row r="869" spans="1:35" s="3" customFormat="1" ht="11.25" customHeight="1" x14ac:dyDescent="0.15">
      <c r="A869" s="59" t="s">
        <v>69</v>
      </c>
      <c r="B869" s="52">
        <v>0</v>
      </c>
      <c r="C869" s="52"/>
      <c r="D869" s="58"/>
      <c r="E869" s="58">
        <f t="shared" si="243"/>
        <v>0</v>
      </c>
      <c r="F869" s="138">
        <f t="shared" si="244"/>
        <v>0</v>
      </c>
      <c r="G869" s="138">
        <v>0</v>
      </c>
      <c r="H869" s="138">
        <v>0</v>
      </c>
      <c r="I869" s="138">
        <v>0</v>
      </c>
      <c r="J869" s="138">
        <v>0</v>
      </c>
      <c r="K869" s="138">
        <v>0</v>
      </c>
      <c r="L869" s="138">
        <v>0</v>
      </c>
      <c r="M869" s="138">
        <v>0</v>
      </c>
      <c r="N869" s="138">
        <v>0</v>
      </c>
      <c r="O869" s="138">
        <v>0</v>
      </c>
      <c r="P869" s="138">
        <v>0</v>
      </c>
      <c r="Q869" s="138">
        <v>0</v>
      </c>
      <c r="R869" s="138">
        <v>0</v>
      </c>
      <c r="S869" s="140"/>
      <c r="T869" s="7"/>
      <c r="U869" s="8"/>
      <c r="V869" s="7"/>
      <c r="W869" s="8"/>
      <c r="X869" s="7"/>
      <c r="Y869" s="8"/>
      <c r="Z869" s="7"/>
      <c r="AA869" s="8"/>
      <c r="AB869" s="7"/>
      <c r="AC869" s="8"/>
      <c r="AD869" s="7"/>
      <c r="AE869" s="8"/>
      <c r="AF869" s="7"/>
      <c r="AG869" s="8"/>
      <c r="AH869" s="7"/>
    </row>
    <row r="870" spans="1:35" s="3" customFormat="1" ht="11.25" customHeight="1" x14ac:dyDescent="0.15">
      <c r="A870" s="87" t="s">
        <v>70</v>
      </c>
      <c r="B870" s="52">
        <v>0</v>
      </c>
      <c r="C870" s="50"/>
      <c r="D870" s="50"/>
      <c r="E870" s="58">
        <f t="shared" si="243"/>
        <v>0</v>
      </c>
      <c r="F870" s="138">
        <f t="shared" si="244"/>
        <v>0</v>
      </c>
      <c r="G870" s="138">
        <v>0</v>
      </c>
      <c r="H870" s="138">
        <v>0</v>
      </c>
      <c r="I870" s="138">
        <v>0</v>
      </c>
      <c r="J870" s="138">
        <v>0</v>
      </c>
      <c r="K870" s="138">
        <v>0</v>
      </c>
      <c r="L870" s="138">
        <v>0</v>
      </c>
      <c r="M870" s="138">
        <v>0</v>
      </c>
      <c r="N870" s="138">
        <v>0</v>
      </c>
      <c r="O870" s="138">
        <v>0</v>
      </c>
      <c r="P870" s="138">
        <v>0</v>
      </c>
      <c r="Q870" s="138">
        <v>0</v>
      </c>
      <c r="R870" s="138">
        <v>0</v>
      </c>
      <c r="S870" s="147"/>
      <c r="T870" s="7"/>
      <c r="U870" s="11"/>
      <c r="V870" s="7"/>
      <c r="W870" s="11"/>
      <c r="X870" s="7"/>
      <c r="Y870" s="11"/>
      <c r="Z870" s="7"/>
      <c r="AA870" s="11"/>
      <c r="AB870" s="7"/>
      <c r="AC870" s="11"/>
      <c r="AD870" s="7"/>
      <c r="AE870" s="11"/>
      <c r="AF870" s="7"/>
      <c r="AG870" s="11"/>
      <c r="AH870" s="9"/>
    </row>
    <row r="871" spans="1:35" x14ac:dyDescent="0.25">
      <c r="A871" s="59" t="s">
        <v>6</v>
      </c>
      <c r="B871" s="67">
        <v>0</v>
      </c>
      <c r="C871" s="58"/>
      <c r="D871" s="58"/>
      <c r="E871" s="58">
        <f t="shared" si="243"/>
        <v>0</v>
      </c>
      <c r="F871" s="138">
        <f t="shared" si="244"/>
        <v>0</v>
      </c>
      <c r="G871" s="138">
        <v>0</v>
      </c>
      <c r="H871" s="138">
        <v>0</v>
      </c>
      <c r="I871" s="138">
        <v>0</v>
      </c>
      <c r="J871" s="138">
        <v>0</v>
      </c>
      <c r="K871" s="138">
        <v>0</v>
      </c>
      <c r="L871" s="138">
        <v>0</v>
      </c>
      <c r="M871" s="138">
        <v>0</v>
      </c>
      <c r="N871" s="138">
        <v>0</v>
      </c>
      <c r="O871" s="138">
        <v>0</v>
      </c>
      <c r="P871" s="138">
        <v>0</v>
      </c>
      <c r="Q871" s="138">
        <v>0</v>
      </c>
      <c r="R871" s="138">
        <v>0</v>
      </c>
      <c r="S871" s="137"/>
    </row>
    <row r="872" spans="1:35" x14ac:dyDescent="0.25">
      <c r="A872" s="59" t="s">
        <v>71</v>
      </c>
      <c r="B872" s="67">
        <v>0</v>
      </c>
      <c r="C872" s="81"/>
      <c r="D872" s="81"/>
      <c r="E872" s="58">
        <f t="shared" si="243"/>
        <v>0</v>
      </c>
      <c r="F872" s="138">
        <f t="shared" si="244"/>
        <v>0</v>
      </c>
      <c r="G872" s="138">
        <v>0</v>
      </c>
      <c r="H872" s="138">
        <v>0</v>
      </c>
      <c r="I872" s="138">
        <v>0</v>
      </c>
      <c r="J872" s="138">
        <v>0</v>
      </c>
      <c r="K872" s="138">
        <v>0</v>
      </c>
      <c r="L872" s="138">
        <v>0</v>
      </c>
      <c r="M872" s="138">
        <v>0</v>
      </c>
      <c r="N872" s="138">
        <v>0</v>
      </c>
      <c r="O872" s="138">
        <v>0</v>
      </c>
      <c r="P872" s="138">
        <v>0</v>
      </c>
      <c r="Q872" s="138">
        <v>0</v>
      </c>
      <c r="R872" s="138">
        <v>0</v>
      </c>
      <c r="S872" s="137"/>
    </row>
    <row r="873" spans="1:35" x14ac:dyDescent="0.25">
      <c r="A873" s="59" t="s">
        <v>82</v>
      </c>
      <c r="B873" s="67">
        <v>0</v>
      </c>
      <c r="C873" s="58"/>
      <c r="D873" s="58"/>
      <c r="E873" s="58">
        <f t="shared" si="243"/>
        <v>0</v>
      </c>
      <c r="F873" s="138">
        <f t="shared" si="244"/>
        <v>0</v>
      </c>
      <c r="G873" s="138">
        <v>0</v>
      </c>
      <c r="H873" s="138">
        <v>0</v>
      </c>
      <c r="I873" s="138">
        <v>0</v>
      </c>
      <c r="J873" s="138">
        <v>0</v>
      </c>
      <c r="K873" s="138">
        <v>0</v>
      </c>
      <c r="L873" s="138">
        <v>0</v>
      </c>
      <c r="M873" s="138">
        <v>0</v>
      </c>
      <c r="N873" s="138">
        <v>0</v>
      </c>
      <c r="O873" s="138">
        <v>0</v>
      </c>
      <c r="P873" s="138">
        <v>0</v>
      </c>
      <c r="Q873" s="138">
        <v>0</v>
      </c>
      <c r="R873" s="138">
        <v>0</v>
      </c>
      <c r="S873" s="137"/>
    </row>
    <row r="874" spans="1:35" x14ac:dyDescent="0.25">
      <c r="A874" s="59" t="s">
        <v>83</v>
      </c>
      <c r="B874" s="67">
        <v>0</v>
      </c>
      <c r="C874" s="58"/>
      <c r="D874" s="58"/>
      <c r="E874" s="58">
        <f t="shared" si="243"/>
        <v>0</v>
      </c>
      <c r="F874" s="138">
        <f t="shared" si="244"/>
        <v>0</v>
      </c>
      <c r="G874" s="138">
        <v>0</v>
      </c>
      <c r="H874" s="138">
        <v>0</v>
      </c>
      <c r="I874" s="138">
        <v>0</v>
      </c>
      <c r="J874" s="138">
        <v>0</v>
      </c>
      <c r="K874" s="138">
        <v>0</v>
      </c>
      <c r="L874" s="138">
        <v>0</v>
      </c>
      <c r="M874" s="138">
        <v>0</v>
      </c>
      <c r="N874" s="138">
        <v>0</v>
      </c>
      <c r="O874" s="138">
        <v>0</v>
      </c>
      <c r="P874" s="138">
        <v>0</v>
      </c>
      <c r="Q874" s="138">
        <v>0</v>
      </c>
      <c r="R874" s="138">
        <v>0</v>
      </c>
      <c r="S874" s="137"/>
    </row>
    <row r="875" spans="1:35" x14ac:dyDescent="0.25">
      <c r="A875" s="59" t="s">
        <v>5</v>
      </c>
      <c r="B875" s="58"/>
      <c r="C875" s="58"/>
      <c r="D875" s="58"/>
      <c r="E875" s="58">
        <f t="shared" si="243"/>
        <v>0</v>
      </c>
      <c r="F875" s="138">
        <f t="shared" si="244"/>
        <v>0</v>
      </c>
      <c r="G875" s="138">
        <v>0</v>
      </c>
      <c r="H875" s="138">
        <v>0</v>
      </c>
      <c r="I875" s="138">
        <v>0</v>
      </c>
      <c r="J875" s="138">
        <v>0</v>
      </c>
      <c r="K875" s="138">
        <v>0</v>
      </c>
      <c r="L875" s="138">
        <v>0</v>
      </c>
      <c r="M875" s="138">
        <v>0</v>
      </c>
      <c r="N875" s="138">
        <v>0</v>
      </c>
      <c r="O875" s="138">
        <v>0</v>
      </c>
      <c r="P875" s="138">
        <v>0</v>
      </c>
      <c r="Q875" s="138">
        <v>0</v>
      </c>
      <c r="R875" s="138">
        <v>0</v>
      </c>
      <c r="S875" s="137"/>
    </row>
    <row r="876" spans="1:35" x14ac:dyDescent="0.25">
      <c r="F876" s="138" t="s">
        <v>75</v>
      </c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7"/>
    </row>
    <row r="877" spans="1:35" ht="18.75" x14ac:dyDescent="0.4">
      <c r="A877" s="32" t="s">
        <v>111</v>
      </c>
      <c r="B877" s="40"/>
      <c r="C877" s="40"/>
      <c r="D877" s="40"/>
      <c r="E877" s="51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7"/>
    </row>
    <row r="878" spans="1:35" x14ac:dyDescent="0.25">
      <c r="A878" s="59"/>
      <c r="B878" s="58"/>
      <c r="C878" s="58"/>
      <c r="D878" s="58"/>
      <c r="E878" s="58">
        <f t="shared" ref="E878:E879" si="245">+B878+C878+D878</f>
        <v>0</v>
      </c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7"/>
    </row>
    <row r="879" spans="1:35" x14ac:dyDescent="0.25">
      <c r="A879" s="59"/>
      <c r="B879" s="58"/>
      <c r="C879" s="58"/>
      <c r="D879" s="58"/>
      <c r="E879" s="58">
        <f t="shared" si="245"/>
        <v>0</v>
      </c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7"/>
    </row>
    <row r="880" spans="1:35" ht="18.75" x14ac:dyDescent="0.4">
      <c r="A880" s="32" t="s">
        <v>112</v>
      </c>
      <c r="B880" s="40"/>
      <c r="C880" s="40"/>
      <c r="D880" s="40"/>
      <c r="E880" s="51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7"/>
    </row>
    <row r="881" spans="1:19" x14ac:dyDescent="0.25">
      <c r="A881" s="60" t="s">
        <v>237</v>
      </c>
      <c r="B881" s="58">
        <v>0</v>
      </c>
      <c r="C881" s="93">
        <v>455544.37</v>
      </c>
      <c r="D881" s="58"/>
      <c r="E881" s="58">
        <f t="shared" ref="E881:E884" si="246">+B881+C881+D881</f>
        <v>455544.37</v>
      </c>
      <c r="F881" s="138">
        <f t="shared" ref="F881:F884" si="247">SUM(G881:R881)</f>
        <v>455544.37</v>
      </c>
      <c r="G881" s="138">
        <v>0</v>
      </c>
      <c r="H881" s="138">
        <v>0</v>
      </c>
      <c r="I881" s="138">
        <v>0</v>
      </c>
      <c r="J881" s="138">
        <v>455544.37</v>
      </c>
      <c r="K881" s="138">
        <v>0</v>
      </c>
      <c r="L881" s="138">
        <v>0</v>
      </c>
      <c r="M881" s="138">
        <v>0</v>
      </c>
      <c r="N881" s="138">
        <v>0</v>
      </c>
      <c r="O881" s="138">
        <v>0</v>
      </c>
      <c r="P881" s="138">
        <v>0</v>
      </c>
      <c r="Q881" s="138">
        <v>0</v>
      </c>
      <c r="R881" s="138">
        <v>0</v>
      </c>
      <c r="S881" s="137"/>
    </row>
    <row r="882" spans="1:19" x14ac:dyDescent="0.25">
      <c r="A882" s="60" t="s">
        <v>190</v>
      </c>
      <c r="B882" s="58"/>
      <c r="C882" s="93">
        <v>2333694.2400000002</v>
      </c>
      <c r="D882" s="58"/>
      <c r="E882" s="58">
        <f t="shared" si="246"/>
        <v>2333694.2400000002</v>
      </c>
      <c r="F882" s="138">
        <f t="shared" si="247"/>
        <v>2333694.2400000002</v>
      </c>
      <c r="G882" s="138">
        <v>0</v>
      </c>
      <c r="H882" s="138">
        <v>0</v>
      </c>
      <c r="I882" s="138">
        <v>0</v>
      </c>
      <c r="J882" s="138">
        <v>2333694.2400000002</v>
      </c>
      <c r="K882" s="138">
        <v>0</v>
      </c>
      <c r="L882" s="138">
        <v>0</v>
      </c>
      <c r="M882" s="138">
        <v>0</v>
      </c>
      <c r="N882" s="138">
        <v>0</v>
      </c>
      <c r="O882" s="138">
        <v>0</v>
      </c>
      <c r="P882" s="138">
        <v>0</v>
      </c>
      <c r="Q882" s="138">
        <v>0</v>
      </c>
      <c r="R882" s="138">
        <v>0</v>
      </c>
      <c r="S882" s="137"/>
    </row>
    <row r="883" spans="1:19" x14ac:dyDescent="0.25">
      <c r="A883" s="60" t="s">
        <v>238</v>
      </c>
      <c r="B883" s="58"/>
      <c r="C883" s="93">
        <v>0</v>
      </c>
      <c r="D883" s="58"/>
      <c r="E883" s="58">
        <f t="shared" si="246"/>
        <v>0</v>
      </c>
      <c r="F883" s="138">
        <f t="shared" si="247"/>
        <v>0</v>
      </c>
      <c r="G883" s="138">
        <v>0</v>
      </c>
      <c r="H883" s="138">
        <v>0</v>
      </c>
      <c r="I883" s="138">
        <v>0</v>
      </c>
      <c r="J883" s="138">
        <v>0</v>
      </c>
      <c r="K883" s="138">
        <v>0</v>
      </c>
      <c r="L883" s="138">
        <v>0</v>
      </c>
      <c r="M883" s="138">
        <v>0</v>
      </c>
      <c r="N883" s="138">
        <v>0</v>
      </c>
      <c r="O883" s="138">
        <v>0</v>
      </c>
      <c r="P883" s="138">
        <v>0</v>
      </c>
      <c r="Q883" s="138">
        <v>0</v>
      </c>
      <c r="R883" s="138">
        <v>0</v>
      </c>
      <c r="S883" s="137"/>
    </row>
    <row r="884" spans="1:19" x14ac:dyDescent="0.25">
      <c r="A884" s="60" t="s">
        <v>239</v>
      </c>
      <c r="B884" s="61">
        <v>0</v>
      </c>
      <c r="C884" s="58">
        <v>877308</v>
      </c>
      <c r="D884" s="58"/>
      <c r="E884" s="58">
        <f t="shared" si="246"/>
        <v>877308</v>
      </c>
      <c r="F884" s="138">
        <f t="shared" si="247"/>
        <v>877308</v>
      </c>
      <c r="G884" s="138">
        <v>0</v>
      </c>
      <c r="H884" s="138">
        <v>0</v>
      </c>
      <c r="I884" s="138">
        <v>0</v>
      </c>
      <c r="J884" s="138">
        <v>877308</v>
      </c>
      <c r="K884" s="138">
        <v>0</v>
      </c>
      <c r="L884" s="138">
        <v>0</v>
      </c>
      <c r="M884" s="138">
        <v>0</v>
      </c>
      <c r="N884" s="138">
        <v>0</v>
      </c>
      <c r="O884" s="138">
        <v>0</v>
      </c>
      <c r="P884" s="138">
        <v>0</v>
      </c>
      <c r="Q884" s="138">
        <v>0</v>
      </c>
      <c r="R884" s="138">
        <v>0</v>
      </c>
      <c r="S884" s="137"/>
    </row>
    <row r="885" spans="1:19" ht="18.75" x14ac:dyDescent="0.4">
      <c r="A885" s="34" t="s">
        <v>113</v>
      </c>
      <c r="B885" s="40"/>
      <c r="C885" s="40"/>
      <c r="D885" s="40"/>
      <c r="E885" s="51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7"/>
    </row>
    <row r="886" spans="1:19" x14ac:dyDescent="0.25">
      <c r="A886" s="59"/>
      <c r="B886" s="58"/>
      <c r="C886" s="58"/>
      <c r="D886" s="58"/>
      <c r="E886" s="58">
        <f t="shared" ref="E886" si="248">+B886+C886+D886</f>
        <v>0</v>
      </c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7"/>
    </row>
    <row r="887" spans="1:19" x14ac:dyDescent="0.25"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7"/>
    </row>
    <row r="888" spans="1:19" x14ac:dyDescent="0.25"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7"/>
    </row>
    <row r="889" spans="1:19" ht="15.75" x14ac:dyDescent="0.3">
      <c r="A889" s="170" t="s">
        <v>151</v>
      </c>
      <c r="B889" s="170"/>
      <c r="C889" s="170"/>
      <c r="D889" s="170"/>
      <c r="E889" s="170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7"/>
    </row>
    <row r="890" spans="1:19" x14ac:dyDescent="0.25">
      <c r="A890" s="23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7"/>
    </row>
    <row r="891" spans="1:19" ht="30" x14ac:dyDescent="0.25">
      <c r="A891" s="33" t="s">
        <v>105</v>
      </c>
      <c r="B891" s="38" t="s">
        <v>106</v>
      </c>
      <c r="C891" s="38" t="s">
        <v>107</v>
      </c>
      <c r="D891" s="38" t="s">
        <v>108</v>
      </c>
      <c r="E891" s="38" t="s">
        <v>109</v>
      </c>
      <c r="F891" s="138"/>
      <c r="G891" s="38" t="s">
        <v>192</v>
      </c>
      <c r="H891" s="38" t="s">
        <v>193</v>
      </c>
      <c r="I891" s="38" t="s">
        <v>194</v>
      </c>
      <c r="J891" s="38" t="s">
        <v>195</v>
      </c>
      <c r="K891" s="38" t="s">
        <v>196</v>
      </c>
      <c r="L891" s="38" t="s">
        <v>197</v>
      </c>
      <c r="M891" s="38" t="s">
        <v>198</v>
      </c>
      <c r="N891" s="38" t="s">
        <v>199</v>
      </c>
      <c r="O891" s="38" t="s">
        <v>200</v>
      </c>
      <c r="P891" s="38" t="s">
        <v>201</v>
      </c>
      <c r="Q891" s="38" t="s">
        <v>202</v>
      </c>
      <c r="R891" s="38" t="s">
        <v>203</v>
      </c>
      <c r="S891" s="137"/>
    </row>
    <row r="892" spans="1:19" ht="18.75" x14ac:dyDescent="0.4">
      <c r="A892" s="32" t="s">
        <v>110</v>
      </c>
      <c r="B892" s="37">
        <f>SUM(B893:B918)</f>
        <v>385564.96</v>
      </c>
      <c r="C892" s="37">
        <f>SUM(C893:C918)</f>
        <v>0</v>
      </c>
      <c r="D892" s="37">
        <f>SUM(D893:D918)</f>
        <v>0</v>
      </c>
      <c r="E892" s="37">
        <f>SUM(E893:E918)</f>
        <v>385564.96</v>
      </c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7"/>
    </row>
    <row r="893" spans="1:19" x14ac:dyDescent="0.25">
      <c r="A893" s="59" t="s">
        <v>1</v>
      </c>
      <c r="B893" s="52">
        <v>49841.33</v>
      </c>
      <c r="C893" s="58"/>
      <c r="D893" s="58"/>
      <c r="E893" s="58">
        <f t="shared" ref="E893:E909" si="249">+B893+C893+D893</f>
        <v>49841.33</v>
      </c>
      <c r="F893" s="138">
        <f t="shared" ref="F893:F909" si="250">SUM(G893:R893)</f>
        <v>49841.33</v>
      </c>
      <c r="G893" s="159">
        <v>0</v>
      </c>
      <c r="H893" s="159">
        <v>0</v>
      </c>
      <c r="I893" s="138">
        <v>0</v>
      </c>
      <c r="J893" s="138">
        <v>0</v>
      </c>
      <c r="K893" s="138">
        <v>3744</v>
      </c>
      <c r="L893" s="138">
        <v>0</v>
      </c>
      <c r="M893" s="138">
        <v>5826</v>
      </c>
      <c r="N893" s="138">
        <v>15992.25</v>
      </c>
      <c r="O893" s="138">
        <v>1856.08</v>
      </c>
      <c r="P893" s="138">
        <v>8730</v>
      </c>
      <c r="Q893" s="138">
        <v>5873</v>
      </c>
      <c r="R893" s="138">
        <v>7820</v>
      </c>
      <c r="S893" s="137"/>
    </row>
    <row r="894" spans="1:19" x14ac:dyDescent="0.25">
      <c r="A894" s="59" t="s">
        <v>2</v>
      </c>
      <c r="B894" s="52">
        <v>24644.76</v>
      </c>
      <c r="C894" s="52"/>
      <c r="D894" s="58"/>
      <c r="E894" s="58">
        <f t="shared" si="249"/>
        <v>24644.76</v>
      </c>
      <c r="F894" s="138">
        <f t="shared" si="250"/>
        <v>24644.76</v>
      </c>
      <c r="G894" s="138">
        <v>0</v>
      </c>
      <c r="H894" s="138">
        <v>0</v>
      </c>
      <c r="I894" s="138">
        <v>0</v>
      </c>
      <c r="J894" s="138">
        <v>0</v>
      </c>
      <c r="K894" s="138">
        <v>60</v>
      </c>
      <c r="L894" s="138">
        <v>0</v>
      </c>
      <c r="M894" s="138">
        <v>0</v>
      </c>
      <c r="N894" s="138">
        <v>0</v>
      </c>
      <c r="O894" s="138">
        <v>20687.759999999998</v>
      </c>
      <c r="P894" s="138">
        <v>3897</v>
      </c>
      <c r="Q894" s="138">
        <v>0</v>
      </c>
      <c r="R894" s="138">
        <v>0</v>
      </c>
      <c r="S894" s="137"/>
    </row>
    <row r="895" spans="1:19" x14ac:dyDescent="0.25">
      <c r="A895" s="59" t="s">
        <v>3</v>
      </c>
      <c r="B895" s="52">
        <v>3048.74</v>
      </c>
      <c r="C895" s="52"/>
      <c r="D895" s="58"/>
      <c r="E895" s="58">
        <f t="shared" si="249"/>
        <v>3048.74</v>
      </c>
      <c r="F895" s="138">
        <f t="shared" si="250"/>
        <v>3048.74</v>
      </c>
      <c r="G895" s="138">
        <v>0</v>
      </c>
      <c r="H895" s="138">
        <v>0</v>
      </c>
      <c r="I895" s="138">
        <v>0</v>
      </c>
      <c r="J895" s="138">
        <v>0</v>
      </c>
      <c r="K895" s="138">
        <v>32</v>
      </c>
      <c r="L895" s="138">
        <v>1900</v>
      </c>
      <c r="M895" s="138">
        <v>443.2</v>
      </c>
      <c r="N895" s="138">
        <v>0</v>
      </c>
      <c r="O895" s="138">
        <v>252.54</v>
      </c>
      <c r="P895" s="138">
        <v>0</v>
      </c>
      <c r="Q895" s="138">
        <v>421</v>
      </c>
      <c r="R895" s="138">
        <v>0</v>
      </c>
      <c r="S895" s="137"/>
    </row>
    <row r="896" spans="1:19" x14ac:dyDescent="0.25">
      <c r="A896" s="59" t="s">
        <v>6</v>
      </c>
      <c r="B896" s="58">
        <v>16713.62</v>
      </c>
      <c r="C896" s="52"/>
      <c r="D896" s="58"/>
      <c r="E896" s="58">
        <f t="shared" ref="E896:E897" si="251">+B896+C896+D896</f>
        <v>16713.62</v>
      </c>
      <c r="F896" s="138">
        <f t="shared" ref="F896:F897" si="252">SUM(G896:R896)</f>
        <v>16713.62</v>
      </c>
      <c r="G896" s="138">
        <v>0</v>
      </c>
      <c r="H896" s="138">
        <v>0</v>
      </c>
      <c r="I896" s="138">
        <v>0</v>
      </c>
      <c r="J896" s="138">
        <v>0</v>
      </c>
      <c r="K896" s="138">
        <f>22480-1883-7148.56-221.82</f>
        <v>13226.619999999999</v>
      </c>
      <c r="L896" s="138">
        <v>0</v>
      </c>
      <c r="M896" s="138">
        <v>0</v>
      </c>
      <c r="N896" s="138">
        <v>0</v>
      </c>
      <c r="O896" s="138">
        <v>0</v>
      </c>
      <c r="P896" s="138">
        <v>0</v>
      </c>
      <c r="Q896" s="138">
        <v>3487</v>
      </c>
      <c r="R896" s="138">
        <v>0</v>
      </c>
      <c r="S896" s="137"/>
    </row>
    <row r="897" spans="1:19" x14ac:dyDescent="0.25">
      <c r="A897" s="59" t="s">
        <v>259</v>
      </c>
      <c r="B897" s="52">
        <v>9360</v>
      </c>
      <c r="C897" s="52"/>
      <c r="D897" s="58"/>
      <c r="E897" s="58">
        <f t="shared" si="251"/>
        <v>9360</v>
      </c>
      <c r="F897" s="138">
        <f t="shared" si="252"/>
        <v>9360</v>
      </c>
      <c r="G897" s="138">
        <v>0</v>
      </c>
      <c r="H897" s="138">
        <v>0</v>
      </c>
      <c r="I897" s="138">
        <v>0</v>
      </c>
      <c r="J897" s="138">
        <v>0</v>
      </c>
      <c r="K897" s="138">
        <v>9360</v>
      </c>
      <c r="L897" s="138">
        <v>0</v>
      </c>
      <c r="M897" s="138">
        <v>0</v>
      </c>
      <c r="N897" s="138">
        <v>0</v>
      </c>
      <c r="O897" s="138">
        <v>0</v>
      </c>
      <c r="P897" s="138">
        <v>0</v>
      </c>
      <c r="Q897" s="138">
        <v>0</v>
      </c>
      <c r="R897" s="138">
        <v>0</v>
      </c>
      <c r="S897" s="137"/>
    </row>
    <row r="898" spans="1:19" x14ac:dyDescent="0.25">
      <c r="A898" s="87" t="s">
        <v>77</v>
      </c>
      <c r="B898" s="52">
        <v>16575.55</v>
      </c>
      <c r="C898" s="50"/>
      <c r="D898" s="50"/>
      <c r="E898" s="58">
        <f t="shared" si="249"/>
        <v>16575.55</v>
      </c>
      <c r="F898" s="138">
        <f t="shared" si="250"/>
        <v>16575.55</v>
      </c>
      <c r="G898" s="138">
        <v>0</v>
      </c>
      <c r="H898" s="138">
        <v>0</v>
      </c>
      <c r="I898" s="138">
        <v>0</v>
      </c>
      <c r="J898" s="138">
        <v>0</v>
      </c>
      <c r="K898" s="138">
        <f>22000-5424.45</f>
        <v>16575.55</v>
      </c>
      <c r="L898" s="138">
        <v>0</v>
      </c>
      <c r="M898" s="138">
        <v>0</v>
      </c>
      <c r="N898" s="138">
        <v>0</v>
      </c>
      <c r="O898" s="138">
        <v>0</v>
      </c>
      <c r="P898" s="138">
        <v>0</v>
      </c>
      <c r="Q898" s="138">
        <v>0</v>
      </c>
      <c r="R898" s="138">
        <v>0</v>
      </c>
      <c r="S898" s="137"/>
    </row>
    <row r="899" spans="1:19" x14ac:dyDescent="0.25">
      <c r="A899" s="59" t="s">
        <v>66</v>
      </c>
      <c r="B899" s="52">
        <v>6997.8300000000008</v>
      </c>
      <c r="C899" s="52"/>
      <c r="D899" s="58"/>
      <c r="E899" s="58">
        <f t="shared" si="249"/>
        <v>6997.8300000000008</v>
      </c>
      <c r="F899" s="138">
        <f t="shared" si="250"/>
        <v>6997.8300000000008</v>
      </c>
      <c r="G899" s="138">
        <v>0</v>
      </c>
      <c r="H899" s="138">
        <v>0</v>
      </c>
      <c r="I899" s="138">
        <v>0</v>
      </c>
      <c r="J899" s="138">
        <v>0</v>
      </c>
      <c r="K899" s="138">
        <v>105</v>
      </c>
      <c r="L899" s="138">
        <v>1798</v>
      </c>
      <c r="M899" s="138">
        <v>3795.63</v>
      </c>
      <c r="N899" s="138">
        <v>417.6</v>
      </c>
      <c r="O899" s="138">
        <v>881.6</v>
      </c>
      <c r="P899" s="138">
        <v>0</v>
      </c>
      <c r="Q899" s="138">
        <v>0</v>
      </c>
      <c r="R899" s="138">
        <v>0</v>
      </c>
      <c r="S899" s="137"/>
    </row>
    <row r="900" spans="1:19" x14ac:dyDescent="0.25">
      <c r="A900" s="59" t="s">
        <v>67</v>
      </c>
      <c r="B900" s="52">
        <v>18805</v>
      </c>
      <c r="C900" s="52"/>
      <c r="D900" s="58"/>
      <c r="E900" s="58">
        <f t="shared" si="249"/>
        <v>18805</v>
      </c>
      <c r="F900" s="138">
        <f t="shared" si="250"/>
        <v>18805</v>
      </c>
      <c r="G900" s="138">
        <v>0</v>
      </c>
      <c r="H900" s="138">
        <v>0</v>
      </c>
      <c r="I900" s="138">
        <v>0</v>
      </c>
      <c r="J900" s="138">
        <v>0</v>
      </c>
      <c r="K900" s="138">
        <f>19305-500</f>
        <v>18805</v>
      </c>
      <c r="L900" s="138">
        <v>0</v>
      </c>
      <c r="M900" s="138">
        <v>0</v>
      </c>
      <c r="N900" s="138">
        <v>0</v>
      </c>
      <c r="O900" s="138">
        <v>0</v>
      </c>
      <c r="P900" s="138">
        <v>0</v>
      </c>
      <c r="Q900" s="138">
        <v>0</v>
      </c>
      <c r="R900" s="138">
        <v>0</v>
      </c>
      <c r="S900" s="137"/>
    </row>
    <row r="901" spans="1:19" x14ac:dyDescent="0.25">
      <c r="A901" s="59" t="s">
        <v>228</v>
      </c>
      <c r="B901" s="52">
        <v>1008.04</v>
      </c>
      <c r="C901" s="52"/>
      <c r="D901" s="58"/>
      <c r="E901" s="58">
        <f t="shared" ref="E901:E908" si="253">+B901+C901+D901</f>
        <v>1008.04</v>
      </c>
      <c r="F901" s="138">
        <f t="shared" ref="F901:F908" si="254">SUM(G901:R901)</f>
        <v>1008.04</v>
      </c>
      <c r="G901" s="138">
        <v>504.02</v>
      </c>
      <c r="H901" s="138">
        <v>0</v>
      </c>
      <c r="I901" s="138">
        <v>0</v>
      </c>
      <c r="J901" s="138">
        <v>0</v>
      </c>
      <c r="K901" s="138">
        <v>0</v>
      </c>
      <c r="L901" s="138">
        <v>0</v>
      </c>
      <c r="M901" s="138">
        <v>114</v>
      </c>
      <c r="N901" s="138">
        <v>168.2</v>
      </c>
      <c r="O901" s="138">
        <v>0</v>
      </c>
      <c r="P901" s="138">
        <v>221.82</v>
      </c>
      <c r="Q901" s="138">
        <v>0</v>
      </c>
      <c r="R901" s="138">
        <v>0</v>
      </c>
      <c r="S901" s="137">
        <v>0</v>
      </c>
    </row>
    <row r="902" spans="1:19" x14ac:dyDescent="0.25">
      <c r="A902" s="59" t="s">
        <v>10</v>
      </c>
      <c r="B902" s="52">
        <v>147024.6</v>
      </c>
      <c r="C902" s="52"/>
      <c r="D902" s="58"/>
      <c r="E902" s="58">
        <f t="shared" si="253"/>
        <v>147024.6</v>
      </c>
      <c r="F902" s="138">
        <f t="shared" si="254"/>
        <v>147024.6</v>
      </c>
      <c r="G902" s="138">
        <v>0</v>
      </c>
      <c r="H902" s="138">
        <v>8776</v>
      </c>
      <c r="I902" s="138">
        <v>1800</v>
      </c>
      <c r="J902" s="138">
        <v>300</v>
      </c>
      <c r="K902" s="138">
        <v>16985.599999999999</v>
      </c>
      <c r="L902" s="138">
        <v>15174</v>
      </c>
      <c r="M902" s="138">
        <f>9945+3000</f>
        <v>12945</v>
      </c>
      <c r="N902" s="138">
        <v>15174</v>
      </c>
      <c r="O902" s="138">
        <v>15174</v>
      </c>
      <c r="P902" s="138">
        <v>30348</v>
      </c>
      <c r="Q902" s="138">
        <v>15174</v>
      </c>
      <c r="R902" s="138">
        <v>15174</v>
      </c>
      <c r="S902" s="137"/>
    </row>
    <row r="903" spans="1:19" x14ac:dyDescent="0.25">
      <c r="A903" s="59" t="s">
        <v>181</v>
      </c>
      <c r="B903" s="52">
        <v>8980</v>
      </c>
      <c r="C903" s="52"/>
      <c r="D903" s="58"/>
      <c r="E903" s="58">
        <f t="shared" si="253"/>
        <v>8980</v>
      </c>
      <c r="F903" s="138">
        <f t="shared" si="254"/>
        <v>8980</v>
      </c>
      <c r="G903" s="138">
        <v>0</v>
      </c>
      <c r="H903" s="138">
        <v>0</v>
      </c>
      <c r="I903" s="138">
        <v>0</v>
      </c>
      <c r="J903" s="138">
        <v>0</v>
      </c>
      <c r="K903" s="138">
        <v>8980</v>
      </c>
      <c r="L903" s="138">
        <v>0</v>
      </c>
      <c r="M903" s="138">
        <v>0</v>
      </c>
      <c r="N903" s="138">
        <v>0</v>
      </c>
      <c r="O903" s="138">
        <v>0</v>
      </c>
      <c r="P903" s="138">
        <v>0</v>
      </c>
      <c r="Q903" s="138">
        <v>0</v>
      </c>
      <c r="R903" s="138">
        <v>0</v>
      </c>
      <c r="S903" s="137"/>
    </row>
    <row r="904" spans="1:19" x14ac:dyDescent="0.25">
      <c r="A904" s="59" t="s">
        <v>93</v>
      </c>
      <c r="B904" s="52">
        <v>32406.02</v>
      </c>
      <c r="C904" s="52"/>
      <c r="D904" s="58"/>
      <c r="E904" s="58">
        <f t="shared" si="253"/>
        <v>32406.02</v>
      </c>
      <c r="F904" s="138">
        <f t="shared" si="254"/>
        <v>32406.02</v>
      </c>
      <c r="G904" s="138">
        <v>0</v>
      </c>
      <c r="H904" s="138">
        <v>0</v>
      </c>
      <c r="I904" s="138">
        <v>0</v>
      </c>
      <c r="J904" s="138">
        <v>0</v>
      </c>
      <c r="K904" s="138">
        <f>27774-5872.88-1405.08</f>
        <v>20496.04</v>
      </c>
      <c r="L904" s="138">
        <v>0</v>
      </c>
      <c r="M904" s="138">
        <v>1339.98</v>
      </c>
      <c r="N904" s="138">
        <v>0</v>
      </c>
      <c r="O904" s="138">
        <v>0</v>
      </c>
      <c r="P904" s="138">
        <v>0</v>
      </c>
      <c r="Q904" s="138">
        <v>10570</v>
      </c>
      <c r="R904" s="138">
        <v>0</v>
      </c>
      <c r="S904" s="137"/>
    </row>
    <row r="905" spans="1:19" x14ac:dyDescent="0.25">
      <c r="A905" s="59" t="s">
        <v>252</v>
      </c>
      <c r="B905" s="52">
        <v>1831.1</v>
      </c>
      <c r="C905" s="52"/>
      <c r="D905" s="58"/>
      <c r="E905" s="58">
        <f t="shared" si="253"/>
        <v>1831.1</v>
      </c>
      <c r="F905" s="138">
        <f t="shared" si="254"/>
        <v>1831.1</v>
      </c>
      <c r="G905" s="138">
        <v>0</v>
      </c>
      <c r="H905" s="138">
        <v>0</v>
      </c>
      <c r="I905" s="138">
        <v>0</v>
      </c>
      <c r="J905" s="138">
        <v>0</v>
      </c>
      <c r="K905" s="138">
        <v>1831.1</v>
      </c>
      <c r="L905" s="138">
        <v>0</v>
      </c>
      <c r="M905" s="138">
        <v>0</v>
      </c>
      <c r="N905" s="138">
        <v>0</v>
      </c>
      <c r="O905" s="138">
        <v>0</v>
      </c>
      <c r="P905" s="138">
        <v>0</v>
      </c>
      <c r="Q905" s="138">
        <v>0</v>
      </c>
      <c r="R905" s="138">
        <v>0</v>
      </c>
      <c r="S905" s="137"/>
    </row>
    <row r="906" spans="1:19" x14ac:dyDescent="0.25">
      <c r="A906" s="59" t="s">
        <v>83</v>
      </c>
      <c r="B906" s="58">
        <v>16002</v>
      </c>
      <c r="C906" s="58"/>
      <c r="D906" s="58"/>
      <c r="E906" s="58">
        <f t="shared" si="253"/>
        <v>16002</v>
      </c>
      <c r="F906" s="138">
        <f t="shared" si="254"/>
        <v>16002</v>
      </c>
      <c r="G906" s="138">
        <v>0</v>
      </c>
      <c r="H906" s="138">
        <v>0</v>
      </c>
      <c r="I906" s="138">
        <v>0</v>
      </c>
      <c r="J906" s="138">
        <v>0</v>
      </c>
      <c r="K906" s="138">
        <f>17902-1900</f>
        <v>16002</v>
      </c>
      <c r="L906" s="138">
        <v>0</v>
      </c>
      <c r="M906" s="138">
        <v>0</v>
      </c>
      <c r="N906" s="138">
        <v>0</v>
      </c>
      <c r="O906" s="138">
        <v>0</v>
      </c>
      <c r="P906" s="138">
        <v>0</v>
      </c>
      <c r="Q906" s="138">
        <v>0</v>
      </c>
      <c r="R906" s="138">
        <v>0</v>
      </c>
      <c r="S906" s="137"/>
    </row>
    <row r="907" spans="1:19" x14ac:dyDescent="0.25">
      <c r="A907" s="59" t="s">
        <v>69</v>
      </c>
      <c r="B907" s="52">
        <v>15450</v>
      </c>
      <c r="C907" s="52"/>
      <c r="D907" s="58"/>
      <c r="E907" s="58">
        <f t="shared" si="253"/>
        <v>15450</v>
      </c>
      <c r="F907" s="138">
        <f t="shared" si="254"/>
        <v>15450</v>
      </c>
      <c r="G907" s="138">
        <v>0</v>
      </c>
      <c r="H907" s="138">
        <v>0</v>
      </c>
      <c r="I907" s="138">
        <v>0</v>
      </c>
      <c r="J907" s="138">
        <v>0</v>
      </c>
      <c r="K907" s="138">
        <v>15450</v>
      </c>
      <c r="L907" s="138">
        <v>0</v>
      </c>
      <c r="M907" s="138">
        <v>0</v>
      </c>
      <c r="N907" s="138">
        <v>0</v>
      </c>
      <c r="O907" s="138">
        <v>0</v>
      </c>
      <c r="P907" s="138">
        <v>0</v>
      </c>
      <c r="Q907" s="138">
        <v>0</v>
      </c>
      <c r="R907" s="138">
        <v>0</v>
      </c>
      <c r="S907" s="137"/>
    </row>
    <row r="908" spans="1:19" x14ac:dyDescent="0.25">
      <c r="A908" s="87" t="s">
        <v>70</v>
      </c>
      <c r="B908" s="52">
        <v>16876.37</v>
      </c>
      <c r="C908" s="50"/>
      <c r="D908" s="50"/>
      <c r="E908" s="58">
        <f t="shared" si="253"/>
        <v>16876.37</v>
      </c>
      <c r="F908" s="138">
        <f t="shared" si="254"/>
        <v>16876.37</v>
      </c>
      <c r="G908" s="138">
        <v>0</v>
      </c>
      <c r="H908" s="138">
        <v>0</v>
      </c>
      <c r="I908" s="138">
        <v>0</v>
      </c>
      <c r="J908" s="138">
        <v>10746</v>
      </c>
      <c r="K908" s="138">
        <v>0</v>
      </c>
      <c r="L908" s="138">
        <v>0</v>
      </c>
      <c r="M908" s="138">
        <v>0</v>
      </c>
      <c r="N908" s="138">
        <v>0</v>
      </c>
      <c r="O908" s="138">
        <v>2648.37</v>
      </c>
      <c r="P908" s="138">
        <v>0</v>
      </c>
      <c r="Q908" s="138">
        <v>3482</v>
      </c>
      <c r="R908" s="138">
        <v>0</v>
      </c>
      <c r="S908" s="137"/>
    </row>
    <row r="909" spans="1:19" x14ac:dyDescent="0.25">
      <c r="A909" s="59" t="s">
        <v>5</v>
      </c>
      <c r="B909" s="58"/>
      <c r="C909" s="58"/>
      <c r="D909" s="58"/>
      <c r="E909" s="58">
        <f t="shared" si="249"/>
        <v>0</v>
      </c>
      <c r="F909" s="138">
        <f t="shared" si="250"/>
        <v>0</v>
      </c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7"/>
    </row>
    <row r="910" spans="1:19" x14ac:dyDescent="0.25"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7"/>
    </row>
    <row r="911" spans="1:19" ht="18.75" x14ac:dyDescent="0.4">
      <c r="A911" s="32" t="s">
        <v>111</v>
      </c>
      <c r="B911" s="40"/>
      <c r="C911" s="40"/>
      <c r="D911" s="40"/>
      <c r="E911" s="51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7"/>
    </row>
    <row r="912" spans="1:19" x14ac:dyDescent="0.25">
      <c r="A912" s="59"/>
      <c r="B912" s="58"/>
      <c r="C912" s="58"/>
      <c r="D912" s="58"/>
      <c r="E912" s="58">
        <f t="shared" ref="E912:E913" si="255">+B912+C912+D912</f>
        <v>0</v>
      </c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7"/>
    </row>
    <row r="913" spans="1:34" x14ac:dyDescent="0.25">
      <c r="A913" s="59"/>
      <c r="B913" s="58"/>
      <c r="C913" s="58"/>
      <c r="D913" s="58"/>
      <c r="E913" s="58">
        <f t="shared" si="255"/>
        <v>0</v>
      </c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7"/>
    </row>
    <row r="914" spans="1:34" ht="18.75" x14ac:dyDescent="0.4">
      <c r="A914" s="32" t="s">
        <v>112</v>
      </c>
      <c r="B914" s="40"/>
      <c r="C914" s="40"/>
      <c r="D914" s="40"/>
      <c r="E914" s="51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7"/>
    </row>
    <row r="915" spans="1:34" x14ac:dyDescent="0.25">
      <c r="A915" s="60" t="s">
        <v>157</v>
      </c>
      <c r="B915" s="58">
        <v>0</v>
      </c>
      <c r="C915" s="58"/>
      <c r="D915" s="58"/>
      <c r="E915" s="58">
        <f t="shared" ref="E915:E916" si="256">+B915+C915+D915</f>
        <v>0</v>
      </c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7"/>
    </row>
    <row r="916" spans="1:34" x14ac:dyDescent="0.25">
      <c r="A916" s="60" t="s">
        <v>75</v>
      </c>
      <c r="B916" s="61">
        <v>0</v>
      </c>
      <c r="C916" s="58"/>
      <c r="D916" s="58"/>
      <c r="E916" s="58">
        <f t="shared" si="256"/>
        <v>0</v>
      </c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7"/>
    </row>
    <row r="917" spans="1:34" ht="18.75" x14ac:dyDescent="0.4">
      <c r="A917" s="34" t="s">
        <v>113</v>
      </c>
      <c r="B917" s="40"/>
      <c r="C917" s="40"/>
      <c r="D917" s="40"/>
      <c r="E917" s="51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7"/>
    </row>
    <row r="918" spans="1:34" x14ac:dyDescent="0.25">
      <c r="A918" s="59"/>
      <c r="B918" s="58"/>
      <c r="C918" s="58"/>
      <c r="D918" s="58"/>
      <c r="E918" s="58">
        <f t="shared" ref="E918" si="257">+B918+C918+D918</f>
        <v>0</v>
      </c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7"/>
    </row>
    <row r="919" spans="1:34" x14ac:dyDescent="0.25"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7"/>
    </row>
    <row r="920" spans="1:34" x14ac:dyDescent="0.25"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7"/>
    </row>
    <row r="921" spans="1:34" x14ac:dyDescent="0.25"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7"/>
    </row>
    <row r="922" spans="1:34" ht="15.75" x14ac:dyDescent="0.3">
      <c r="A922" s="171" t="s">
        <v>84</v>
      </c>
      <c r="B922" s="171"/>
      <c r="C922" s="171"/>
      <c r="D922" s="171"/>
      <c r="E922" s="171"/>
      <c r="F922" s="152"/>
      <c r="G922" s="152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7"/>
    </row>
    <row r="923" spans="1:34" x14ac:dyDescent="0.25"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7"/>
    </row>
    <row r="924" spans="1:34" ht="30" x14ac:dyDescent="0.25">
      <c r="A924" s="33" t="s">
        <v>105</v>
      </c>
      <c r="B924" s="38" t="s">
        <v>106</v>
      </c>
      <c r="C924" s="38" t="s">
        <v>107</v>
      </c>
      <c r="D924" s="38" t="s">
        <v>108</v>
      </c>
      <c r="E924" s="38" t="s">
        <v>109</v>
      </c>
      <c r="F924" s="138"/>
      <c r="G924" s="38" t="s">
        <v>192</v>
      </c>
      <c r="H924" s="38" t="s">
        <v>193</v>
      </c>
      <c r="I924" s="38" t="s">
        <v>194</v>
      </c>
      <c r="J924" s="38" t="s">
        <v>195</v>
      </c>
      <c r="K924" s="38" t="s">
        <v>196</v>
      </c>
      <c r="L924" s="38" t="s">
        <v>197</v>
      </c>
      <c r="M924" s="38" t="s">
        <v>198</v>
      </c>
      <c r="N924" s="38" t="s">
        <v>199</v>
      </c>
      <c r="O924" s="38" t="s">
        <v>200</v>
      </c>
      <c r="P924" s="38" t="s">
        <v>201</v>
      </c>
      <c r="Q924" s="38" t="s">
        <v>202</v>
      </c>
      <c r="R924" s="38" t="s">
        <v>203</v>
      </c>
      <c r="S924" s="137"/>
    </row>
    <row r="925" spans="1:34" ht="18.75" x14ac:dyDescent="0.4">
      <c r="A925" s="32" t="s">
        <v>110</v>
      </c>
      <c r="B925" s="37">
        <f>SUM(B926:B961)</f>
        <v>909339.69</v>
      </c>
      <c r="C925" s="37">
        <f t="shared" ref="C925:E925" si="258">SUM(C926:C961)</f>
        <v>0</v>
      </c>
      <c r="D925" s="37">
        <f t="shared" si="258"/>
        <v>0</v>
      </c>
      <c r="E925" s="37">
        <f t="shared" si="258"/>
        <v>909339.69</v>
      </c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7"/>
    </row>
    <row r="926" spans="1:34" s="3" customFormat="1" ht="11.25" customHeight="1" x14ac:dyDescent="0.15">
      <c r="A926" s="59" t="s">
        <v>1</v>
      </c>
      <c r="B926" s="53">
        <v>46872</v>
      </c>
      <c r="C926" s="96">
        <v>0</v>
      </c>
      <c r="D926" s="58"/>
      <c r="E926" s="58">
        <f>+B926+C926+D926</f>
        <v>46872</v>
      </c>
      <c r="F926" s="138">
        <f t="shared" ref="F926:F952" si="259">SUM(G926:R926)</f>
        <v>46872</v>
      </c>
      <c r="G926" s="138">
        <v>0</v>
      </c>
      <c r="H926" s="138">
        <v>0</v>
      </c>
      <c r="I926" s="138">
        <v>0</v>
      </c>
      <c r="J926" s="138">
        <v>0</v>
      </c>
      <c r="K926" s="138">
        <f>32244-2680</f>
        <v>29564</v>
      </c>
      <c r="L926" s="152">
        <v>0</v>
      </c>
      <c r="M926" s="138">
        <v>0</v>
      </c>
      <c r="N926" s="152">
        <v>0</v>
      </c>
      <c r="O926" s="138">
        <v>4808</v>
      </c>
      <c r="P926" s="152">
        <v>8520</v>
      </c>
      <c r="Q926" s="138">
        <v>3980</v>
      </c>
      <c r="R926" s="152">
        <v>0</v>
      </c>
      <c r="S926" s="139"/>
      <c r="T926" s="16"/>
      <c r="U926" s="4"/>
      <c r="V926" s="16"/>
      <c r="W926" s="4"/>
      <c r="X926" s="16"/>
      <c r="Y926" s="4"/>
      <c r="Z926" s="16"/>
      <c r="AA926" s="4"/>
      <c r="AB926" s="16"/>
      <c r="AC926" s="4"/>
      <c r="AD926" s="16"/>
      <c r="AE926" s="4"/>
      <c r="AF926" s="16"/>
      <c r="AG926" s="4"/>
    </row>
    <row r="927" spans="1:34" s="3" customFormat="1" ht="11.25" customHeight="1" x14ac:dyDescent="0.15">
      <c r="A927" s="59" t="s">
        <v>2</v>
      </c>
      <c r="B927" s="52">
        <v>122419.09</v>
      </c>
      <c r="C927" s="97"/>
      <c r="D927" s="58"/>
      <c r="E927" s="58">
        <f t="shared" ref="E927:E952" si="260">+B927+C927+D927</f>
        <v>122419.09</v>
      </c>
      <c r="F927" s="138">
        <f t="shared" si="259"/>
        <v>122419.09</v>
      </c>
      <c r="G927" s="146">
        <v>0</v>
      </c>
      <c r="H927" s="142">
        <v>0</v>
      </c>
      <c r="I927" s="146">
        <v>0</v>
      </c>
      <c r="J927" s="146">
        <v>11047.84</v>
      </c>
      <c r="K927" s="146">
        <f>20193.26-2609.58-7642.43</f>
        <v>9941.25</v>
      </c>
      <c r="L927" s="160">
        <v>0</v>
      </c>
      <c r="M927" s="146">
        <v>0</v>
      </c>
      <c r="N927" s="160">
        <v>26566</v>
      </c>
      <c r="O927" s="146">
        <v>13693</v>
      </c>
      <c r="P927" s="160">
        <v>12500</v>
      </c>
      <c r="Q927" s="146">
        <v>25780</v>
      </c>
      <c r="R927" s="160">
        <v>22891</v>
      </c>
      <c r="S927" s="140"/>
      <c r="T927" s="18"/>
      <c r="U927" s="8"/>
      <c r="V927" s="18"/>
      <c r="W927" s="8"/>
      <c r="X927" s="18"/>
      <c r="Y927" s="8"/>
      <c r="Z927" s="18"/>
      <c r="AA927" s="8"/>
      <c r="AB927" s="18"/>
      <c r="AC927" s="8"/>
      <c r="AD927" s="18"/>
      <c r="AE927" s="8"/>
      <c r="AF927" s="18"/>
      <c r="AG927" s="8"/>
      <c r="AH927" s="7"/>
    </row>
    <row r="928" spans="1:34" s="3" customFormat="1" ht="11.25" customHeight="1" x14ac:dyDescent="0.15">
      <c r="A928" s="59" t="s">
        <v>4</v>
      </c>
      <c r="B928" s="58">
        <v>2383</v>
      </c>
      <c r="C928" s="97"/>
      <c r="D928" s="58"/>
      <c r="E928" s="58">
        <f t="shared" si="260"/>
        <v>2383</v>
      </c>
      <c r="F928" s="138">
        <f t="shared" si="259"/>
        <v>2383</v>
      </c>
      <c r="G928" s="146">
        <v>0</v>
      </c>
      <c r="H928" s="146">
        <v>0</v>
      </c>
      <c r="I928" s="146">
        <v>0</v>
      </c>
      <c r="J928" s="146">
        <v>0</v>
      </c>
      <c r="K928" s="146">
        <v>0</v>
      </c>
      <c r="L928" s="146">
        <v>0</v>
      </c>
      <c r="M928" s="146">
        <v>0</v>
      </c>
      <c r="N928" s="146">
        <v>0</v>
      </c>
      <c r="O928" s="146">
        <v>0</v>
      </c>
      <c r="P928" s="146">
        <v>2383</v>
      </c>
      <c r="Q928" s="146">
        <v>0</v>
      </c>
      <c r="R928" s="146">
        <v>0</v>
      </c>
      <c r="S928" s="140"/>
      <c r="T928" s="18"/>
      <c r="U928" s="8"/>
      <c r="V928" s="18"/>
      <c r="W928" s="8"/>
      <c r="X928" s="18"/>
      <c r="Y928" s="8"/>
      <c r="Z928" s="18"/>
      <c r="AA928" s="8"/>
      <c r="AB928" s="18"/>
      <c r="AC928" s="8"/>
      <c r="AD928" s="18"/>
      <c r="AE928" s="8"/>
      <c r="AF928" s="18"/>
      <c r="AG928" s="8"/>
      <c r="AH928" s="7"/>
    </row>
    <row r="929" spans="1:34" s="3" customFormat="1" ht="11.25" customHeight="1" x14ac:dyDescent="0.15">
      <c r="A929" s="59" t="s">
        <v>3</v>
      </c>
      <c r="B929" s="52">
        <v>39051.43</v>
      </c>
      <c r="C929" s="123">
        <v>0</v>
      </c>
      <c r="D929" s="58"/>
      <c r="E929" s="58">
        <f t="shared" si="260"/>
        <v>39051.43</v>
      </c>
      <c r="F929" s="138">
        <f t="shared" si="259"/>
        <v>39051.43</v>
      </c>
      <c r="G929" s="146">
        <v>0</v>
      </c>
      <c r="H929" s="142">
        <v>0</v>
      </c>
      <c r="I929" s="146">
        <v>0</v>
      </c>
      <c r="J929" s="146">
        <v>9032.43</v>
      </c>
      <c r="K929" s="146">
        <f>12069-2000</f>
        <v>10069</v>
      </c>
      <c r="L929" s="160">
        <v>0</v>
      </c>
      <c r="M929" s="146">
        <v>0</v>
      </c>
      <c r="N929" s="160">
        <v>0</v>
      </c>
      <c r="O929" s="146">
        <v>4183</v>
      </c>
      <c r="P929" s="160">
        <v>10897</v>
      </c>
      <c r="Q929" s="146">
        <v>4870</v>
      </c>
      <c r="R929" s="160">
        <v>0</v>
      </c>
      <c r="S929" s="140"/>
      <c r="T929" s="18"/>
      <c r="U929" s="8"/>
      <c r="V929" s="18"/>
      <c r="W929" s="8"/>
      <c r="X929" s="18"/>
      <c r="Y929" s="8"/>
      <c r="Z929" s="18"/>
      <c r="AA929" s="8"/>
      <c r="AB929" s="18"/>
      <c r="AC929" s="8"/>
      <c r="AD929" s="18"/>
      <c r="AE929" s="8"/>
      <c r="AF929" s="18"/>
      <c r="AG929" s="8"/>
      <c r="AH929" s="7"/>
    </row>
    <row r="930" spans="1:34" x14ac:dyDescent="0.25">
      <c r="A930" s="59" t="s">
        <v>18</v>
      </c>
      <c r="B930" s="58">
        <v>140363</v>
      </c>
      <c r="C930" s="123">
        <v>0</v>
      </c>
      <c r="D930" s="58"/>
      <c r="E930" s="58">
        <f t="shared" si="260"/>
        <v>140363</v>
      </c>
      <c r="F930" s="138">
        <f t="shared" si="259"/>
        <v>140363</v>
      </c>
      <c r="G930" s="138">
        <v>0</v>
      </c>
      <c r="H930" s="138">
        <v>0</v>
      </c>
      <c r="I930" s="138">
        <v>0</v>
      </c>
      <c r="J930" s="138">
        <v>0</v>
      </c>
      <c r="K930" s="138">
        <v>11563</v>
      </c>
      <c r="L930" s="138">
        <v>78200</v>
      </c>
      <c r="M930" s="138">
        <v>0</v>
      </c>
      <c r="N930" s="138">
        <v>0</v>
      </c>
      <c r="O930" s="138">
        <v>8900</v>
      </c>
      <c r="P930" s="138">
        <v>28900</v>
      </c>
      <c r="Q930" s="138">
        <v>12800</v>
      </c>
      <c r="R930" s="138">
        <v>0</v>
      </c>
      <c r="S930" s="137"/>
    </row>
    <row r="931" spans="1:34" x14ac:dyDescent="0.25">
      <c r="A931" s="59" t="s">
        <v>6</v>
      </c>
      <c r="B931" s="58">
        <v>25095</v>
      </c>
      <c r="C931" s="96"/>
      <c r="D931" s="58"/>
      <c r="E931" s="58">
        <f t="shared" si="260"/>
        <v>25095</v>
      </c>
      <c r="F931" s="138">
        <f t="shared" si="259"/>
        <v>25095</v>
      </c>
      <c r="G931" s="138">
        <v>0</v>
      </c>
      <c r="H931" s="138">
        <v>0</v>
      </c>
      <c r="I931" s="138">
        <v>0</v>
      </c>
      <c r="J931" s="138">
        <v>0</v>
      </c>
      <c r="K931" s="138">
        <v>2526</v>
      </c>
      <c r="L931" s="138">
        <v>0</v>
      </c>
      <c r="M931" s="138">
        <v>432</v>
      </c>
      <c r="N931" s="138">
        <v>0</v>
      </c>
      <c r="O931" s="138">
        <v>2337</v>
      </c>
      <c r="P931" s="138">
        <v>0</v>
      </c>
      <c r="Q931" s="138">
        <v>19800</v>
      </c>
      <c r="R931" s="138">
        <v>0</v>
      </c>
      <c r="S931" s="137"/>
    </row>
    <row r="932" spans="1:34" x14ac:dyDescent="0.25">
      <c r="A932" s="59" t="s">
        <v>19</v>
      </c>
      <c r="B932" s="58">
        <v>3920</v>
      </c>
      <c r="C932" s="96"/>
      <c r="D932" s="58"/>
      <c r="E932" s="58">
        <f t="shared" si="260"/>
        <v>3920</v>
      </c>
      <c r="F932" s="138">
        <f t="shared" si="259"/>
        <v>3920</v>
      </c>
      <c r="G932" s="138">
        <v>0</v>
      </c>
      <c r="H932" s="138">
        <v>0</v>
      </c>
      <c r="I932" s="138">
        <v>0</v>
      </c>
      <c r="J932" s="138">
        <v>0</v>
      </c>
      <c r="K932" s="138">
        <v>1030</v>
      </c>
      <c r="L932" s="138">
        <v>0</v>
      </c>
      <c r="M932" s="138">
        <v>0</v>
      </c>
      <c r="N932" s="138">
        <v>0</v>
      </c>
      <c r="O932" s="138">
        <v>0</v>
      </c>
      <c r="P932" s="138">
        <v>0</v>
      </c>
      <c r="Q932" s="138">
        <v>2890</v>
      </c>
      <c r="R932" s="138">
        <v>0</v>
      </c>
      <c r="S932" s="137"/>
    </row>
    <row r="933" spans="1:34" x14ac:dyDescent="0.25">
      <c r="A933" s="59" t="s">
        <v>244</v>
      </c>
      <c r="B933" s="58">
        <v>1920</v>
      </c>
      <c r="C933" s="96"/>
      <c r="D933" s="58"/>
      <c r="E933" s="58">
        <f t="shared" ref="E933:E934" si="261">+B933+C933+D933</f>
        <v>1920</v>
      </c>
      <c r="F933" s="138">
        <f t="shared" ref="F933:F934" si="262">SUM(G933:R933)</f>
        <v>1920</v>
      </c>
      <c r="G933" s="138">
        <v>0</v>
      </c>
      <c r="H933" s="138">
        <v>0</v>
      </c>
      <c r="I933" s="138">
        <v>0</v>
      </c>
      <c r="J933" s="138">
        <v>0</v>
      </c>
      <c r="K933" s="138">
        <v>1920</v>
      </c>
      <c r="L933" s="138">
        <v>0</v>
      </c>
      <c r="M933" s="138">
        <v>0</v>
      </c>
      <c r="N933" s="138">
        <v>0</v>
      </c>
      <c r="O933" s="138">
        <v>0</v>
      </c>
      <c r="P933" s="138">
        <v>0</v>
      </c>
      <c r="Q933" s="138">
        <v>0</v>
      </c>
      <c r="R933" s="138">
        <v>0</v>
      </c>
      <c r="S933" s="137"/>
    </row>
    <row r="934" spans="1:34" x14ac:dyDescent="0.25">
      <c r="A934" s="59" t="s">
        <v>245</v>
      </c>
      <c r="B934" s="58">
        <v>2511.12</v>
      </c>
      <c r="C934" s="96"/>
      <c r="D934" s="58"/>
      <c r="E934" s="58">
        <f t="shared" si="261"/>
        <v>2511.12</v>
      </c>
      <c r="F934" s="138">
        <f t="shared" si="262"/>
        <v>2511.12</v>
      </c>
      <c r="G934" s="138">
        <v>0</v>
      </c>
      <c r="H934" s="138">
        <v>0</v>
      </c>
      <c r="I934" s="138">
        <v>0</v>
      </c>
      <c r="J934" s="138">
        <v>0</v>
      </c>
      <c r="K934" s="138">
        <v>2511.12</v>
      </c>
      <c r="L934" s="138">
        <v>0</v>
      </c>
      <c r="M934" s="138">
        <v>0</v>
      </c>
      <c r="N934" s="138">
        <v>0</v>
      </c>
      <c r="O934" s="138">
        <v>0</v>
      </c>
      <c r="P934" s="138">
        <v>0</v>
      </c>
      <c r="Q934" s="138">
        <v>0</v>
      </c>
      <c r="R934" s="138">
        <v>0</v>
      </c>
      <c r="S934" s="137"/>
    </row>
    <row r="935" spans="1:34" x14ac:dyDescent="0.25">
      <c r="A935" s="59" t="s">
        <v>58</v>
      </c>
      <c r="B935" s="58">
        <v>5910</v>
      </c>
      <c r="C935" s="96"/>
      <c r="D935" s="58"/>
      <c r="E935" s="58">
        <f t="shared" si="260"/>
        <v>5910</v>
      </c>
      <c r="F935" s="138">
        <f t="shared" si="259"/>
        <v>5910</v>
      </c>
      <c r="G935" s="138">
        <v>0</v>
      </c>
      <c r="H935" s="138">
        <v>0</v>
      </c>
      <c r="I935" s="138">
        <v>85</v>
      </c>
      <c r="J935" s="138">
        <v>0</v>
      </c>
      <c r="K935" s="138">
        <v>2325</v>
      </c>
      <c r="L935" s="138">
        <v>0</v>
      </c>
      <c r="M935" s="138">
        <v>0</v>
      </c>
      <c r="N935" s="138">
        <v>0</v>
      </c>
      <c r="O935" s="138">
        <v>0</v>
      </c>
      <c r="P935" s="138">
        <v>0</v>
      </c>
      <c r="Q935" s="138">
        <v>3500</v>
      </c>
      <c r="R935" s="138">
        <v>0</v>
      </c>
      <c r="S935" s="137"/>
    </row>
    <row r="936" spans="1:34" x14ac:dyDescent="0.25">
      <c r="A936" s="59" t="s">
        <v>246</v>
      </c>
      <c r="B936" s="58">
        <v>851</v>
      </c>
      <c r="C936" s="96"/>
      <c r="D936" s="58"/>
      <c r="E936" s="58">
        <f t="shared" ref="E936" si="263">+B936+C936+D936</f>
        <v>851</v>
      </c>
      <c r="F936" s="138">
        <f t="shared" ref="F936" si="264">SUM(G936:R936)</f>
        <v>851</v>
      </c>
      <c r="G936" s="138">
        <v>0</v>
      </c>
      <c r="H936" s="138">
        <v>0</v>
      </c>
      <c r="I936" s="138">
        <v>0</v>
      </c>
      <c r="J936" s="138">
        <v>0</v>
      </c>
      <c r="K936" s="138">
        <v>851</v>
      </c>
      <c r="L936" s="138">
        <v>0</v>
      </c>
      <c r="M936" s="138">
        <v>0</v>
      </c>
      <c r="N936" s="138">
        <v>0</v>
      </c>
      <c r="O936" s="138">
        <v>0</v>
      </c>
      <c r="P936" s="138">
        <v>0</v>
      </c>
      <c r="Q936" s="138">
        <v>0</v>
      </c>
      <c r="R936" s="138">
        <v>0</v>
      </c>
      <c r="S936" s="137"/>
    </row>
    <row r="937" spans="1:34" x14ac:dyDescent="0.25">
      <c r="A937" s="59" t="s">
        <v>9</v>
      </c>
      <c r="B937" s="58">
        <v>4661.01</v>
      </c>
      <c r="C937" s="96"/>
      <c r="D937" s="58"/>
      <c r="E937" s="58">
        <f t="shared" si="260"/>
        <v>4661.01</v>
      </c>
      <c r="F937" s="138">
        <f t="shared" si="259"/>
        <v>4661.01</v>
      </c>
      <c r="G937" s="138">
        <v>0</v>
      </c>
      <c r="H937" s="138">
        <v>0</v>
      </c>
      <c r="I937" s="138">
        <v>0</v>
      </c>
      <c r="J937" s="138">
        <v>0</v>
      </c>
      <c r="K937" s="138">
        <v>1216</v>
      </c>
      <c r="L937" s="138">
        <v>0</v>
      </c>
      <c r="M937" s="138">
        <v>0</v>
      </c>
      <c r="N937" s="138">
        <v>0</v>
      </c>
      <c r="O937" s="138">
        <v>645.01</v>
      </c>
      <c r="P937" s="138">
        <v>0</v>
      </c>
      <c r="Q937" s="138">
        <v>2800</v>
      </c>
      <c r="R937" s="138">
        <v>0</v>
      </c>
      <c r="S937" s="137"/>
    </row>
    <row r="938" spans="1:34" x14ac:dyDescent="0.25">
      <c r="A938" s="59" t="s">
        <v>85</v>
      </c>
      <c r="B938" s="58">
        <v>3683.41</v>
      </c>
      <c r="C938" s="96"/>
      <c r="D938" s="58"/>
      <c r="E938" s="58">
        <f t="shared" si="260"/>
        <v>3683.41</v>
      </c>
      <c r="F938" s="138">
        <f t="shared" si="259"/>
        <v>3683.41</v>
      </c>
      <c r="G938" s="138">
        <v>0</v>
      </c>
      <c r="H938" s="138">
        <v>0</v>
      </c>
      <c r="I938" s="138">
        <v>0</v>
      </c>
      <c r="J938" s="138">
        <v>0</v>
      </c>
      <c r="K938" s="138">
        <v>0</v>
      </c>
      <c r="L938" s="138">
        <v>0</v>
      </c>
      <c r="M938" s="138">
        <v>0</v>
      </c>
      <c r="N938" s="138">
        <v>0</v>
      </c>
      <c r="O938" s="138">
        <v>3683.41</v>
      </c>
      <c r="P938" s="138">
        <v>0</v>
      </c>
      <c r="Q938" s="138">
        <v>0</v>
      </c>
      <c r="R938" s="138">
        <v>0</v>
      </c>
      <c r="S938" s="137"/>
    </row>
    <row r="939" spans="1:34" x14ac:dyDescent="0.25">
      <c r="A939" s="59" t="s">
        <v>230</v>
      </c>
      <c r="B939" s="58">
        <v>203</v>
      </c>
      <c r="C939" s="96"/>
      <c r="D939" s="58"/>
      <c r="E939" s="58">
        <f t="shared" ref="E939:E940" si="265">+B939+C939+D939</f>
        <v>203</v>
      </c>
      <c r="F939" s="138">
        <f t="shared" ref="F939:F940" si="266">SUM(G939:R939)</f>
        <v>203</v>
      </c>
      <c r="G939" s="138">
        <v>0</v>
      </c>
      <c r="H939" s="138">
        <v>0</v>
      </c>
      <c r="I939" s="138">
        <v>0</v>
      </c>
      <c r="J939" s="138">
        <v>0</v>
      </c>
      <c r="K939" s="138">
        <v>0</v>
      </c>
      <c r="L939" s="138">
        <v>0</v>
      </c>
      <c r="M939" s="138">
        <v>0</v>
      </c>
      <c r="N939" s="138">
        <v>0</v>
      </c>
      <c r="O939" s="138">
        <v>203</v>
      </c>
      <c r="P939" s="138">
        <v>0</v>
      </c>
      <c r="Q939" s="138">
        <v>0</v>
      </c>
      <c r="R939" s="138">
        <v>0</v>
      </c>
      <c r="S939" s="137"/>
    </row>
    <row r="940" spans="1:34" x14ac:dyDescent="0.25">
      <c r="A940" s="59" t="s">
        <v>247</v>
      </c>
      <c r="B940" s="58">
        <v>696</v>
      </c>
      <c r="C940" s="96"/>
      <c r="D940" s="58"/>
      <c r="E940" s="58">
        <f t="shared" si="265"/>
        <v>696</v>
      </c>
      <c r="F940" s="138">
        <f t="shared" si="266"/>
        <v>696</v>
      </c>
      <c r="G940" s="138">
        <v>0</v>
      </c>
      <c r="H940" s="138">
        <v>0</v>
      </c>
      <c r="I940" s="138">
        <v>0</v>
      </c>
      <c r="J940" s="138">
        <v>0</v>
      </c>
      <c r="K940" s="138">
        <v>0</v>
      </c>
      <c r="L940" s="138">
        <v>0</v>
      </c>
      <c r="M940" s="138">
        <v>0</v>
      </c>
      <c r="N940" s="138">
        <v>0</v>
      </c>
      <c r="O940" s="138">
        <v>696</v>
      </c>
      <c r="P940" s="138">
        <v>0</v>
      </c>
      <c r="Q940" s="138">
        <v>0</v>
      </c>
      <c r="R940" s="138">
        <v>0</v>
      </c>
      <c r="S940" s="137"/>
    </row>
    <row r="941" spans="1:34" x14ac:dyDescent="0.25">
      <c r="A941" s="59" t="s">
        <v>62</v>
      </c>
      <c r="B941" s="58">
        <v>7528.58</v>
      </c>
      <c r="C941" s="96">
        <v>0</v>
      </c>
      <c r="D941" s="58"/>
      <c r="E941" s="58">
        <f t="shared" si="260"/>
        <v>7528.58</v>
      </c>
      <c r="F941" s="138">
        <f t="shared" si="259"/>
        <v>7528.58</v>
      </c>
      <c r="G941" s="138">
        <v>0</v>
      </c>
      <c r="H941" s="138">
        <v>0</v>
      </c>
      <c r="I941" s="138">
        <v>0</v>
      </c>
      <c r="J941" s="138">
        <v>6177.58</v>
      </c>
      <c r="K941" s="138">
        <v>1351</v>
      </c>
      <c r="L941" s="138">
        <v>0</v>
      </c>
      <c r="M941" s="138">
        <v>0</v>
      </c>
      <c r="N941" s="138">
        <v>0</v>
      </c>
      <c r="O941" s="138">
        <v>0</v>
      </c>
      <c r="P941" s="138">
        <v>0</v>
      </c>
      <c r="Q941" s="138">
        <v>0</v>
      </c>
      <c r="R941" s="138">
        <v>0</v>
      </c>
      <c r="S941" s="137"/>
    </row>
    <row r="942" spans="1:34" x14ac:dyDescent="0.25">
      <c r="A942" s="59" t="s">
        <v>10</v>
      </c>
      <c r="B942" s="58">
        <v>370306.39</v>
      </c>
      <c r="C942" s="96">
        <v>0</v>
      </c>
      <c r="D942" s="58"/>
      <c r="E942" s="58">
        <f t="shared" si="260"/>
        <v>370306.39</v>
      </c>
      <c r="F942" s="138">
        <f t="shared" si="259"/>
        <v>370306.39</v>
      </c>
      <c r="G942" s="138">
        <v>0</v>
      </c>
      <c r="H942" s="138">
        <v>15768.98</v>
      </c>
      <c r="I942" s="138">
        <v>2000</v>
      </c>
      <c r="J942" s="138">
        <v>862.21</v>
      </c>
      <c r="K942" s="138">
        <v>68427.199999999997</v>
      </c>
      <c r="L942" s="138">
        <v>80928</v>
      </c>
      <c r="M942" s="138">
        <v>40464</v>
      </c>
      <c r="N942" s="138">
        <v>80928</v>
      </c>
      <c r="O942" s="138">
        <v>40464</v>
      </c>
      <c r="P942" s="138">
        <v>40464</v>
      </c>
      <c r="Q942" s="138">
        <v>0</v>
      </c>
      <c r="R942" s="138">
        <v>0</v>
      </c>
      <c r="S942" s="137"/>
    </row>
    <row r="943" spans="1:34" x14ac:dyDescent="0.25">
      <c r="A943" s="59" t="s">
        <v>231</v>
      </c>
      <c r="B943" s="58">
        <v>13642</v>
      </c>
      <c r="C943" s="96"/>
      <c r="D943" s="58"/>
      <c r="E943" s="58">
        <f t="shared" ref="E943" si="267">+B943+C943+D943</f>
        <v>13642</v>
      </c>
      <c r="F943" s="138">
        <f t="shared" ref="F943" si="268">SUM(G943:R943)</f>
        <v>13642</v>
      </c>
      <c r="G943" s="138">
        <v>0</v>
      </c>
      <c r="H943" s="138">
        <v>0</v>
      </c>
      <c r="I943" s="138">
        <v>928</v>
      </c>
      <c r="J943" s="138">
        <v>2664.8</v>
      </c>
      <c r="K943" s="138">
        <v>3686.6</v>
      </c>
      <c r="L943" s="138">
        <v>0</v>
      </c>
      <c r="M943" s="138">
        <v>5481</v>
      </c>
      <c r="N943" s="138">
        <v>881.6</v>
      </c>
      <c r="O943" s="138">
        <v>0</v>
      </c>
      <c r="P943" s="138">
        <v>0</v>
      </c>
      <c r="Q943" s="138">
        <v>0</v>
      </c>
      <c r="R943" s="138">
        <v>0</v>
      </c>
      <c r="S943" s="137"/>
    </row>
    <row r="944" spans="1:34" x14ac:dyDescent="0.25">
      <c r="A944" s="59" t="s">
        <v>181</v>
      </c>
      <c r="B944" s="58">
        <v>27604.57</v>
      </c>
      <c r="C944" s="96">
        <v>0</v>
      </c>
      <c r="D944" s="58"/>
      <c r="E944" s="58">
        <f t="shared" si="260"/>
        <v>27604.57</v>
      </c>
      <c r="F944" s="138">
        <f t="shared" si="259"/>
        <v>27604.57</v>
      </c>
      <c r="G944" s="138">
        <v>0</v>
      </c>
      <c r="H944" s="138">
        <v>0</v>
      </c>
      <c r="I944" s="138">
        <v>0</v>
      </c>
      <c r="J944" s="138">
        <v>0</v>
      </c>
      <c r="K944" s="138">
        <v>2604.5700000000002</v>
      </c>
      <c r="L944" s="138">
        <v>0</v>
      </c>
      <c r="M944" s="138">
        <v>0</v>
      </c>
      <c r="N944" s="138">
        <v>0</v>
      </c>
      <c r="O944" s="138">
        <v>0</v>
      </c>
      <c r="P944" s="138">
        <v>0</v>
      </c>
      <c r="Q944" s="138">
        <v>25000</v>
      </c>
      <c r="R944" s="138">
        <v>0</v>
      </c>
      <c r="S944" s="137"/>
    </row>
    <row r="945" spans="1:19" x14ac:dyDescent="0.25">
      <c r="A945" s="59" t="s">
        <v>86</v>
      </c>
      <c r="B945" s="58">
        <v>12890</v>
      </c>
      <c r="C945" s="96"/>
      <c r="D945" s="58"/>
      <c r="E945" s="58">
        <f t="shared" si="260"/>
        <v>12890</v>
      </c>
      <c r="F945" s="138">
        <f t="shared" si="259"/>
        <v>12890</v>
      </c>
      <c r="G945" s="146">
        <v>0</v>
      </c>
      <c r="H945" s="146">
        <v>0</v>
      </c>
      <c r="I945" s="146">
        <v>0</v>
      </c>
      <c r="J945" s="146">
        <v>0</v>
      </c>
      <c r="K945" s="146">
        <v>0</v>
      </c>
      <c r="L945" s="146">
        <v>0</v>
      </c>
      <c r="M945" s="146">
        <v>0</v>
      </c>
      <c r="N945" s="146">
        <v>0</v>
      </c>
      <c r="O945" s="146">
        <v>0</v>
      </c>
      <c r="P945" s="146">
        <v>0</v>
      </c>
      <c r="Q945" s="146">
        <v>12890</v>
      </c>
      <c r="R945" s="146">
        <v>0</v>
      </c>
      <c r="S945" s="137"/>
    </row>
    <row r="946" spans="1:19" x14ac:dyDescent="0.25">
      <c r="A946" s="59" t="s">
        <v>12</v>
      </c>
      <c r="B946" s="58">
        <v>2688</v>
      </c>
      <c r="C946" s="96"/>
      <c r="D946" s="58"/>
      <c r="E946" s="58">
        <f t="shared" si="260"/>
        <v>2688</v>
      </c>
      <c r="F946" s="138">
        <f t="shared" si="259"/>
        <v>2688</v>
      </c>
      <c r="G946" s="138">
        <v>0</v>
      </c>
      <c r="H946" s="138">
        <v>0</v>
      </c>
      <c r="I946" s="138">
        <v>0</v>
      </c>
      <c r="J946" s="138">
        <v>0</v>
      </c>
      <c r="K946" s="138">
        <v>2688</v>
      </c>
      <c r="L946" s="138">
        <v>0</v>
      </c>
      <c r="M946" s="138">
        <v>0</v>
      </c>
      <c r="N946" s="138">
        <v>0</v>
      </c>
      <c r="O946" s="138">
        <v>0</v>
      </c>
      <c r="P946" s="138">
        <v>0</v>
      </c>
      <c r="Q946" s="138">
        <v>0</v>
      </c>
      <c r="R946" s="138">
        <v>0</v>
      </c>
      <c r="S946" s="137"/>
    </row>
    <row r="947" spans="1:19" x14ac:dyDescent="0.25">
      <c r="A947" s="59" t="s">
        <v>13</v>
      </c>
      <c r="B947" s="58">
        <v>815</v>
      </c>
      <c r="C947" s="96"/>
      <c r="D947" s="58"/>
      <c r="E947" s="58">
        <f t="shared" si="260"/>
        <v>815</v>
      </c>
      <c r="F947" s="138">
        <f t="shared" si="259"/>
        <v>815</v>
      </c>
      <c r="G947" s="138">
        <v>0</v>
      </c>
      <c r="H947" s="138">
        <v>0</v>
      </c>
      <c r="I947" s="138">
        <v>15</v>
      </c>
      <c r="J947" s="138">
        <v>0</v>
      </c>
      <c r="K947" s="138">
        <v>800</v>
      </c>
      <c r="L947" s="138">
        <v>0</v>
      </c>
      <c r="M947" s="138">
        <v>0</v>
      </c>
      <c r="N947" s="138">
        <v>0</v>
      </c>
      <c r="O947" s="138">
        <v>0</v>
      </c>
      <c r="P947" s="138">
        <v>0</v>
      </c>
      <c r="Q947" s="138">
        <v>0</v>
      </c>
      <c r="R947" s="138">
        <v>0</v>
      </c>
      <c r="S947" s="137"/>
    </row>
    <row r="948" spans="1:19" x14ac:dyDescent="0.25">
      <c r="A948" s="59" t="s">
        <v>248</v>
      </c>
      <c r="B948" s="58">
        <v>320</v>
      </c>
      <c r="C948" s="96"/>
      <c r="D948" s="58"/>
      <c r="E948" s="58">
        <f t="shared" ref="E948:E949" si="269">+B948+C948+D948</f>
        <v>320</v>
      </c>
      <c r="F948" s="138">
        <f t="shared" ref="F948:F949" si="270">SUM(G948:R948)</f>
        <v>320</v>
      </c>
      <c r="G948" s="138">
        <v>0</v>
      </c>
      <c r="H948" s="138">
        <v>0</v>
      </c>
      <c r="I948" s="138">
        <v>0</v>
      </c>
      <c r="J948" s="138">
        <v>0</v>
      </c>
      <c r="K948" s="138">
        <v>320</v>
      </c>
      <c r="L948" s="138">
        <v>0</v>
      </c>
      <c r="M948" s="138">
        <v>0</v>
      </c>
      <c r="N948" s="138">
        <v>0</v>
      </c>
      <c r="O948" s="138">
        <v>0</v>
      </c>
      <c r="P948" s="138">
        <v>0</v>
      </c>
      <c r="Q948" s="138">
        <v>0</v>
      </c>
      <c r="R948" s="138">
        <v>0</v>
      </c>
      <c r="S948" s="137"/>
    </row>
    <row r="949" spans="1:19" x14ac:dyDescent="0.25">
      <c r="A949" s="59" t="s">
        <v>243</v>
      </c>
      <c r="B949" s="58">
        <v>3339</v>
      </c>
      <c r="C949" s="96"/>
      <c r="D949" s="58"/>
      <c r="E949" s="58">
        <f t="shared" si="269"/>
        <v>3339</v>
      </c>
      <c r="F949" s="138">
        <f t="shared" si="270"/>
        <v>3339</v>
      </c>
      <c r="G949" s="138">
        <v>0</v>
      </c>
      <c r="H949" s="138">
        <v>0</v>
      </c>
      <c r="I949" s="138">
        <v>0</v>
      </c>
      <c r="J949" s="138">
        <v>0</v>
      </c>
      <c r="K949" s="138">
        <v>2585</v>
      </c>
      <c r="L949" s="138">
        <v>0</v>
      </c>
      <c r="M949" s="138">
        <v>0</v>
      </c>
      <c r="N949" s="138">
        <v>0</v>
      </c>
      <c r="O949" s="138">
        <v>754</v>
      </c>
      <c r="P949" s="138">
        <v>0</v>
      </c>
      <c r="Q949" s="138">
        <v>0</v>
      </c>
      <c r="R949" s="138">
        <v>0</v>
      </c>
      <c r="S949" s="137"/>
    </row>
    <row r="950" spans="1:19" x14ac:dyDescent="0.25">
      <c r="A950" s="59" t="s">
        <v>226</v>
      </c>
      <c r="B950" s="58">
        <v>69347.09</v>
      </c>
      <c r="C950" s="96"/>
      <c r="D950" s="58"/>
      <c r="E950" s="58">
        <f t="shared" ref="E950" si="271">+B950+C950+D950</f>
        <v>69347.09</v>
      </c>
      <c r="F950" s="138">
        <f t="shared" ref="F950" si="272">SUM(G950:R950)</f>
        <v>69347.09</v>
      </c>
      <c r="G950" s="138">
        <v>0</v>
      </c>
      <c r="H950" s="138">
        <v>0</v>
      </c>
      <c r="I950" s="138">
        <v>0</v>
      </c>
      <c r="J950" s="138">
        <v>6406.68</v>
      </c>
      <c r="K950" s="138">
        <v>16338.28</v>
      </c>
      <c r="L950" s="138">
        <v>6211.32</v>
      </c>
      <c r="M950" s="138">
        <v>17140.64</v>
      </c>
      <c r="N950" s="138">
        <v>3920.8</v>
      </c>
      <c r="O950" s="138">
        <v>19329.37</v>
      </c>
      <c r="P950" s="138">
        <v>0</v>
      </c>
      <c r="Q950" s="138">
        <v>0</v>
      </c>
      <c r="R950" s="138">
        <v>0</v>
      </c>
      <c r="S950" s="137"/>
    </row>
    <row r="951" spans="1:19" x14ac:dyDescent="0.25">
      <c r="A951" s="59" t="s">
        <v>36</v>
      </c>
      <c r="B951" s="58">
        <v>320</v>
      </c>
      <c r="C951" s="96"/>
      <c r="D951" s="58"/>
      <c r="E951" s="58">
        <f t="shared" si="260"/>
        <v>320</v>
      </c>
      <c r="F951" s="138">
        <f t="shared" si="259"/>
        <v>320</v>
      </c>
      <c r="G951" s="138">
        <v>0</v>
      </c>
      <c r="H951" s="138">
        <v>0</v>
      </c>
      <c r="I951" s="138">
        <v>0</v>
      </c>
      <c r="J951" s="138">
        <v>0</v>
      </c>
      <c r="K951" s="138">
        <v>320</v>
      </c>
      <c r="L951" s="138">
        <v>0</v>
      </c>
      <c r="M951" s="138">
        <v>0</v>
      </c>
      <c r="N951" s="138">
        <v>0</v>
      </c>
      <c r="O951" s="138">
        <v>0</v>
      </c>
      <c r="P951" s="138">
        <v>0</v>
      </c>
      <c r="Q951" s="138">
        <v>0</v>
      </c>
      <c r="R951" s="138">
        <v>0</v>
      </c>
      <c r="S951" s="137"/>
    </row>
    <row r="952" spans="1:19" x14ac:dyDescent="0.25">
      <c r="A952" s="59" t="s">
        <v>5</v>
      </c>
      <c r="B952" s="58">
        <v>0</v>
      </c>
      <c r="C952" s="96"/>
      <c r="D952" s="58"/>
      <c r="E952" s="58">
        <f t="shared" si="260"/>
        <v>0</v>
      </c>
      <c r="F952" s="138">
        <f t="shared" si="259"/>
        <v>0</v>
      </c>
      <c r="G952" s="138"/>
      <c r="H952" s="138"/>
      <c r="I952" s="138"/>
      <c r="J952" s="138">
        <v>0</v>
      </c>
      <c r="K952" s="138"/>
      <c r="L952" s="138"/>
      <c r="M952" s="138"/>
      <c r="N952" s="138"/>
      <c r="O952" s="138"/>
      <c r="P952" s="138"/>
      <c r="Q952" s="138"/>
      <c r="R952" s="138"/>
      <c r="S952" s="137"/>
    </row>
    <row r="953" spans="1:19" x14ac:dyDescent="0.25">
      <c r="F953" s="138">
        <f>SUM(E926:E952)</f>
        <v>909339.69</v>
      </c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7"/>
    </row>
    <row r="954" spans="1:19" ht="18.75" x14ac:dyDescent="0.4">
      <c r="A954" s="32" t="s">
        <v>111</v>
      </c>
      <c r="B954" s="40"/>
      <c r="C954" s="40"/>
      <c r="D954" s="40"/>
      <c r="E954" s="51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7"/>
    </row>
    <row r="955" spans="1:19" x14ac:dyDescent="0.25">
      <c r="A955" s="59"/>
      <c r="B955" s="58"/>
      <c r="C955" s="58"/>
      <c r="D955" s="58"/>
      <c r="E955" s="58">
        <f t="shared" ref="E955:E956" si="273">+B955+C955+D955</f>
        <v>0</v>
      </c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7"/>
    </row>
    <row r="956" spans="1:19" x14ac:dyDescent="0.25">
      <c r="A956" s="59"/>
      <c r="B956" s="58"/>
      <c r="C956" s="58"/>
      <c r="D956" s="58"/>
      <c r="E956" s="58">
        <f t="shared" si="273"/>
        <v>0</v>
      </c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7"/>
    </row>
    <row r="957" spans="1:19" ht="18.75" x14ac:dyDescent="0.4">
      <c r="A957" s="32" t="s">
        <v>112</v>
      </c>
      <c r="B957" s="40"/>
      <c r="C957" s="40"/>
      <c r="D957" s="40"/>
      <c r="E957" s="51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7"/>
    </row>
    <row r="958" spans="1:19" x14ac:dyDescent="0.25">
      <c r="A958" s="60" t="s">
        <v>157</v>
      </c>
      <c r="B958" s="58">
        <v>0</v>
      </c>
      <c r="C958" s="58"/>
      <c r="D958" s="58"/>
      <c r="E958" s="58">
        <f t="shared" ref="E958:E959" si="274">+B958+C958+D958</f>
        <v>0</v>
      </c>
      <c r="F958" s="138">
        <f>+E958</f>
        <v>0</v>
      </c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7"/>
    </row>
    <row r="959" spans="1:19" x14ac:dyDescent="0.25">
      <c r="A959" s="60" t="s">
        <v>75</v>
      </c>
      <c r="B959" s="61">
        <v>0</v>
      </c>
      <c r="C959" s="58"/>
      <c r="D959" s="58"/>
      <c r="E959" s="58">
        <f t="shared" si="274"/>
        <v>0</v>
      </c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7"/>
    </row>
    <row r="960" spans="1:19" ht="18.75" x14ac:dyDescent="0.4">
      <c r="A960" s="34" t="s">
        <v>113</v>
      </c>
      <c r="B960" s="40"/>
      <c r="C960" s="40"/>
      <c r="D960" s="40"/>
      <c r="E960" s="51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7"/>
    </row>
    <row r="961" spans="1:34" x14ac:dyDescent="0.25">
      <c r="A961" s="59" t="s">
        <v>126</v>
      </c>
      <c r="B961" s="58">
        <v>0</v>
      </c>
      <c r="C961" s="58"/>
      <c r="D961" s="58"/>
      <c r="E961" s="58">
        <f t="shared" ref="E961" si="275">+B961+C961+D961</f>
        <v>0</v>
      </c>
      <c r="F961" s="138">
        <f>+E961</f>
        <v>0</v>
      </c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7"/>
    </row>
    <row r="962" spans="1:34" x14ac:dyDescent="0.25"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7"/>
    </row>
    <row r="963" spans="1:34" x14ac:dyDescent="0.25"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7"/>
    </row>
    <row r="964" spans="1:34" x14ac:dyDescent="0.25"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7"/>
    </row>
    <row r="965" spans="1:34" ht="18.75" x14ac:dyDescent="0.4">
      <c r="A965" s="168" t="s">
        <v>87</v>
      </c>
      <c r="B965" s="168"/>
      <c r="C965" s="168"/>
      <c r="D965" s="168"/>
      <c r="E965" s="168"/>
      <c r="F965" s="158"/>
      <c r="G965" s="158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7"/>
    </row>
    <row r="966" spans="1:34" x14ac:dyDescent="0.25"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7"/>
    </row>
    <row r="967" spans="1:34" ht="30" x14ac:dyDescent="0.25">
      <c r="A967" s="33" t="s">
        <v>105</v>
      </c>
      <c r="B967" s="38" t="s">
        <v>106</v>
      </c>
      <c r="C967" s="38" t="s">
        <v>107</v>
      </c>
      <c r="D967" s="38" t="s">
        <v>108</v>
      </c>
      <c r="E967" s="38" t="s">
        <v>109</v>
      </c>
      <c r="F967" s="138"/>
      <c r="G967" s="38" t="s">
        <v>192</v>
      </c>
      <c r="H967" s="38" t="s">
        <v>193</v>
      </c>
      <c r="I967" s="38" t="s">
        <v>194</v>
      </c>
      <c r="J967" s="38" t="s">
        <v>195</v>
      </c>
      <c r="K967" s="38" t="s">
        <v>196</v>
      </c>
      <c r="L967" s="38" t="s">
        <v>197</v>
      </c>
      <c r="M967" s="38" t="s">
        <v>198</v>
      </c>
      <c r="N967" s="38" t="s">
        <v>199</v>
      </c>
      <c r="O967" s="38" t="s">
        <v>200</v>
      </c>
      <c r="P967" s="38" t="s">
        <v>201</v>
      </c>
      <c r="Q967" s="38" t="s">
        <v>202</v>
      </c>
      <c r="R967" s="38" t="s">
        <v>203</v>
      </c>
      <c r="S967" s="137"/>
    </row>
    <row r="968" spans="1:34" ht="18.75" x14ac:dyDescent="0.4">
      <c r="A968" s="32" t="s">
        <v>110</v>
      </c>
      <c r="B968" s="37">
        <f>SUM(B969:B1002)</f>
        <v>614802.00999999989</v>
      </c>
      <c r="C968" s="37">
        <f>SUM(C969:C1002)</f>
        <v>0</v>
      </c>
      <c r="D968" s="37">
        <f>SUM(D969:D1002)</f>
        <v>0</v>
      </c>
      <c r="E968" s="37">
        <f>SUM(E969:E1002)</f>
        <v>614802.00999999989</v>
      </c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7"/>
    </row>
    <row r="969" spans="1:34" s="3" customFormat="1" ht="11.25" customHeight="1" x14ac:dyDescent="0.15">
      <c r="A969" s="59" t="s">
        <v>1</v>
      </c>
      <c r="B969" s="52">
        <v>38065.979999999996</v>
      </c>
      <c r="C969" s="96"/>
      <c r="D969" s="58"/>
      <c r="E969" s="58">
        <f>+B969+C969+D969</f>
        <v>38065.979999999996</v>
      </c>
      <c r="F969" s="138">
        <f t="shared" ref="F969:F993" si="276">SUM(G969:R969)</f>
        <v>38065.979999999996</v>
      </c>
      <c r="G969" s="138">
        <v>0</v>
      </c>
      <c r="H969" s="138">
        <v>0</v>
      </c>
      <c r="I969" s="138">
        <v>0</v>
      </c>
      <c r="J969" s="152">
        <v>0</v>
      </c>
      <c r="K969" s="138">
        <f>5719-4400</f>
        <v>1319</v>
      </c>
      <c r="L969" s="152">
        <v>0</v>
      </c>
      <c r="M969" s="138">
        <v>1404</v>
      </c>
      <c r="N969" s="152">
        <v>948.58</v>
      </c>
      <c r="O969" s="138">
        <v>17.399999999999999</v>
      </c>
      <c r="P969" s="152">
        <v>12500</v>
      </c>
      <c r="Q969" s="138">
        <v>15890</v>
      </c>
      <c r="R969" s="152">
        <v>5987</v>
      </c>
      <c r="S969" s="139"/>
      <c r="T969" s="16"/>
      <c r="U969" s="4"/>
      <c r="V969" s="16"/>
      <c r="W969" s="4"/>
      <c r="X969" s="16"/>
      <c r="Y969" s="4"/>
      <c r="Z969" s="16"/>
      <c r="AA969" s="4"/>
      <c r="AB969" s="16"/>
      <c r="AC969" s="4"/>
      <c r="AD969" s="16"/>
      <c r="AE969" s="4"/>
      <c r="AF969" s="16"/>
      <c r="AG969" s="4"/>
    </row>
    <row r="970" spans="1:34" s="3" customFormat="1" ht="11.25" customHeight="1" x14ac:dyDescent="0.15">
      <c r="A970" s="59" t="s">
        <v>2</v>
      </c>
      <c r="B970" s="52">
        <v>63180.2</v>
      </c>
      <c r="C970" s="97"/>
      <c r="D970" s="58"/>
      <c r="E970" s="58">
        <f t="shared" ref="E970:E993" si="277">+B970+C970+D970</f>
        <v>63180.2</v>
      </c>
      <c r="F970" s="138">
        <f t="shared" si="276"/>
        <v>63180.2</v>
      </c>
      <c r="G970" s="146">
        <v>0</v>
      </c>
      <c r="H970" s="142">
        <v>0</v>
      </c>
      <c r="I970" s="146">
        <v>0</v>
      </c>
      <c r="J970" s="160">
        <v>0</v>
      </c>
      <c r="K970" s="146">
        <v>9210.2000000000007</v>
      </c>
      <c r="L970" s="160">
        <v>0</v>
      </c>
      <c r="M970" s="146">
        <v>0</v>
      </c>
      <c r="N970" s="160">
        <v>0</v>
      </c>
      <c r="O970" s="146">
        <v>0</v>
      </c>
      <c r="P970" s="160">
        <v>28970</v>
      </c>
      <c r="Q970" s="146">
        <v>25000</v>
      </c>
      <c r="R970" s="160">
        <v>0</v>
      </c>
      <c r="S970" s="140"/>
      <c r="T970" s="18"/>
      <c r="U970" s="8"/>
      <c r="V970" s="18"/>
      <c r="W970" s="8"/>
      <c r="X970" s="18"/>
      <c r="Y970" s="8"/>
      <c r="Z970" s="18"/>
      <c r="AA970" s="8"/>
      <c r="AB970" s="18"/>
      <c r="AC970" s="8"/>
      <c r="AD970" s="18"/>
      <c r="AE970" s="8"/>
      <c r="AF970" s="18"/>
      <c r="AG970" s="8"/>
      <c r="AH970" s="7"/>
    </row>
    <row r="971" spans="1:34" s="3" customFormat="1" ht="11.25" customHeight="1" x14ac:dyDescent="0.15">
      <c r="A971" s="59" t="s">
        <v>4</v>
      </c>
      <c r="B971" s="58">
        <v>2421</v>
      </c>
      <c r="C971" s="97"/>
      <c r="D971" s="58"/>
      <c r="E971" s="58">
        <f t="shared" si="277"/>
        <v>2421</v>
      </c>
      <c r="F971" s="138">
        <f t="shared" si="276"/>
        <v>2421</v>
      </c>
      <c r="G971" s="146">
        <v>0</v>
      </c>
      <c r="H971" s="142">
        <v>0</v>
      </c>
      <c r="I971" s="146">
        <v>0</v>
      </c>
      <c r="J971" s="160">
        <v>0</v>
      </c>
      <c r="K971" s="146">
        <v>2421</v>
      </c>
      <c r="L971" s="160">
        <v>0</v>
      </c>
      <c r="M971" s="146">
        <v>0</v>
      </c>
      <c r="N971" s="160">
        <v>0</v>
      </c>
      <c r="O971" s="146">
        <v>0</v>
      </c>
      <c r="P971" s="160">
        <v>0</v>
      </c>
      <c r="Q971" s="146">
        <v>0</v>
      </c>
      <c r="R971" s="160">
        <v>0</v>
      </c>
      <c r="S971" s="140"/>
      <c r="T971" s="18"/>
      <c r="U971" s="8"/>
      <c r="V971" s="18"/>
      <c r="W971" s="8"/>
      <c r="X971" s="18"/>
      <c r="Y971" s="8"/>
      <c r="Z971" s="18"/>
      <c r="AA971" s="8"/>
      <c r="AB971" s="18"/>
      <c r="AC971" s="8"/>
      <c r="AD971" s="18"/>
      <c r="AE971" s="8"/>
      <c r="AF971" s="18"/>
      <c r="AG971" s="8"/>
      <c r="AH971" s="7"/>
    </row>
    <row r="972" spans="1:34" s="3" customFormat="1" ht="11.25" customHeight="1" x14ac:dyDescent="0.15">
      <c r="A972" s="59" t="s">
        <v>3</v>
      </c>
      <c r="B972" s="52">
        <v>28793.27</v>
      </c>
      <c r="C972" s="97"/>
      <c r="D972" s="58"/>
      <c r="E972" s="58">
        <f t="shared" si="277"/>
        <v>28793.27</v>
      </c>
      <c r="F972" s="138">
        <f t="shared" si="276"/>
        <v>28793.27</v>
      </c>
      <c r="G972" s="146">
        <v>0</v>
      </c>
      <c r="H972" s="142">
        <v>0</v>
      </c>
      <c r="I972" s="146">
        <v>0</v>
      </c>
      <c r="J972" s="160">
        <v>0</v>
      </c>
      <c r="K972" s="146">
        <v>5819</v>
      </c>
      <c r="L972" s="160">
        <v>100</v>
      </c>
      <c r="M972" s="146">
        <v>322</v>
      </c>
      <c r="N972" s="160">
        <v>2662.27</v>
      </c>
      <c r="O972" s="146">
        <v>0</v>
      </c>
      <c r="P972" s="160">
        <v>0</v>
      </c>
      <c r="Q972" s="146">
        <v>19890</v>
      </c>
      <c r="R972" s="160">
        <v>0</v>
      </c>
      <c r="S972" s="140"/>
      <c r="T972" s="18"/>
      <c r="U972" s="8"/>
      <c r="V972" s="18"/>
      <c r="W972" s="8"/>
      <c r="X972" s="18"/>
      <c r="Y972" s="8"/>
      <c r="Z972" s="18"/>
      <c r="AA972" s="8"/>
      <c r="AB972" s="18"/>
      <c r="AC972" s="8"/>
      <c r="AD972" s="18"/>
      <c r="AE972" s="8"/>
      <c r="AF972" s="18"/>
      <c r="AG972" s="8"/>
      <c r="AH972" s="7"/>
    </row>
    <row r="973" spans="1:34" s="3" customFormat="1" ht="11.25" customHeight="1" x14ac:dyDescent="0.15">
      <c r="A973" s="59" t="s">
        <v>39</v>
      </c>
      <c r="B973" s="58">
        <v>21768.560000000001</v>
      </c>
      <c r="C973" s="97"/>
      <c r="D973" s="58"/>
      <c r="E973" s="58">
        <f t="shared" si="277"/>
        <v>21768.560000000001</v>
      </c>
      <c r="F973" s="138">
        <f t="shared" si="276"/>
        <v>21768.560000000001</v>
      </c>
      <c r="G973" s="146">
        <v>0</v>
      </c>
      <c r="H973" s="142">
        <v>0</v>
      </c>
      <c r="I973" s="146">
        <v>0</v>
      </c>
      <c r="J973" s="160">
        <v>0</v>
      </c>
      <c r="K973" s="146">
        <v>5370.8</v>
      </c>
      <c r="L973" s="160">
        <v>0</v>
      </c>
      <c r="M973" s="146">
        <v>0</v>
      </c>
      <c r="N973" s="160">
        <v>16172.72</v>
      </c>
      <c r="O973" s="146">
        <v>225.04</v>
      </c>
      <c r="P973" s="160">
        <v>0</v>
      </c>
      <c r="Q973" s="146">
        <v>0</v>
      </c>
      <c r="R973" s="160">
        <v>0</v>
      </c>
      <c r="S973" s="140"/>
      <c r="T973" s="18"/>
      <c r="U973" s="8"/>
      <c r="V973" s="18"/>
      <c r="W973" s="8"/>
      <c r="X973" s="18"/>
      <c r="Y973" s="8"/>
      <c r="Z973" s="18"/>
      <c r="AA973" s="8"/>
      <c r="AB973" s="18"/>
      <c r="AC973" s="8"/>
      <c r="AD973" s="18"/>
      <c r="AE973" s="8"/>
      <c r="AF973" s="18"/>
      <c r="AG973" s="8"/>
      <c r="AH973" s="7"/>
    </row>
    <row r="974" spans="1:34" s="3" customFormat="1" ht="11.25" customHeight="1" x14ac:dyDescent="0.15">
      <c r="A974" s="59" t="s">
        <v>249</v>
      </c>
      <c r="B974" s="58">
        <v>245336.97999999998</v>
      </c>
      <c r="C974" s="97"/>
      <c r="D974" s="58"/>
      <c r="E974" s="58">
        <f t="shared" ref="E974" si="278">+B974+C974+D974</f>
        <v>245336.97999999998</v>
      </c>
      <c r="F974" s="138">
        <f t="shared" ref="F974" si="279">SUM(G974:R974)</f>
        <v>245336.97999999998</v>
      </c>
      <c r="G974" s="146">
        <v>0</v>
      </c>
      <c r="H974" s="142">
        <v>0</v>
      </c>
      <c r="I974" s="146">
        <v>0</v>
      </c>
      <c r="J974" s="160">
        <v>2122</v>
      </c>
      <c r="K974" s="146">
        <v>20665.900000000001</v>
      </c>
      <c r="L974" s="160">
        <f>258107.5-643-31364.38-11719.04</f>
        <v>214381.08</v>
      </c>
      <c r="M974" s="146">
        <f>1139+1139</f>
        <v>2278</v>
      </c>
      <c r="N974" s="160">
        <v>0</v>
      </c>
      <c r="O974" s="146">
        <v>0</v>
      </c>
      <c r="P974" s="160">
        <v>0</v>
      </c>
      <c r="Q974" s="146">
        <v>5890</v>
      </c>
      <c r="R974" s="160">
        <v>0</v>
      </c>
      <c r="S974" s="140"/>
      <c r="T974" s="18"/>
      <c r="U974" s="8"/>
      <c r="V974" s="18"/>
      <c r="W974" s="8"/>
      <c r="X974" s="18"/>
      <c r="Y974" s="8"/>
      <c r="Z974" s="18"/>
      <c r="AA974" s="8"/>
      <c r="AB974" s="18"/>
      <c r="AC974" s="8"/>
      <c r="AD974" s="18"/>
      <c r="AE974" s="8"/>
      <c r="AF974" s="18"/>
      <c r="AG974" s="8"/>
      <c r="AH974" s="7"/>
    </row>
    <row r="975" spans="1:34" x14ac:dyDescent="0.25">
      <c r="A975" s="59" t="s">
        <v>6</v>
      </c>
      <c r="B975" s="58">
        <v>8578.5</v>
      </c>
      <c r="C975" s="96"/>
      <c r="D975" s="58"/>
      <c r="E975" s="58">
        <f t="shared" si="277"/>
        <v>8578.5</v>
      </c>
      <c r="F975" s="138">
        <f t="shared" si="276"/>
        <v>8578.5</v>
      </c>
      <c r="G975" s="138">
        <v>0</v>
      </c>
      <c r="H975" s="138">
        <v>0</v>
      </c>
      <c r="I975" s="138">
        <v>0</v>
      </c>
      <c r="J975" s="138">
        <v>0</v>
      </c>
      <c r="K975" s="138">
        <v>3500</v>
      </c>
      <c r="L975" s="138">
        <v>0</v>
      </c>
      <c r="M975" s="138">
        <v>3052.5</v>
      </c>
      <c r="N975" s="138">
        <v>0</v>
      </c>
      <c r="O975" s="138">
        <v>2026</v>
      </c>
      <c r="P975" s="138">
        <v>0</v>
      </c>
      <c r="Q975" s="138">
        <v>0</v>
      </c>
      <c r="R975" s="138">
        <v>0</v>
      </c>
      <c r="S975" s="137"/>
    </row>
    <row r="976" spans="1:34" x14ac:dyDescent="0.25">
      <c r="A976" s="59" t="s">
        <v>19</v>
      </c>
      <c r="B976" s="58">
        <v>1030</v>
      </c>
      <c r="C976" s="96"/>
      <c r="D976" s="58"/>
      <c r="E976" s="58">
        <f t="shared" si="277"/>
        <v>1030</v>
      </c>
      <c r="F976" s="138">
        <f t="shared" si="276"/>
        <v>1030</v>
      </c>
      <c r="G976" s="138">
        <v>0</v>
      </c>
      <c r="H976" s="138">
        <v>0</v>
      </c>
      <c r="I976" s="138">
        <v>0</v>
      </c>
      <c r="J976" s="138">
        <v>0</v>
      </c>
      <c r="K976" s="138">
        <v>1030</v>
      </c>
      <c r="L976" s="138">
        <v>0</v>
      </c>
      <c r="M976" s="138">
        <v>0</v>
      </c>
      <c r="N976" s="138">
        <v>0</v>
      </c>
      <c r="O976" s="138">
        <v>0</v>
      </c>
      <c r="P976" s="138">
        <v>0</v>
      </c>
      <c r="Q976" s="138">
        <v>0</v>
      </c>
      <c r="R976" s="138">
        <v>0</v>
      </c>
      <c r="S976" s="137"/>
    </row>
    <row r="977" spans="1:19" x14ac:dyDescent="0.25">
      <c r="A977" s="59" t="s">
        <v>88</v>
      </c>
      <c r="B977" s="58">
        <v>9118.9699999999993</v>
      </c>
      <c r="C977" s="96"/>
      <c r="D977" s="58"/>
      <c r="E977" s="58">
        <f t="shared" si="277"/>
        <v>9118.9699999999993</v>
      </c>
      <c r="F977" s="138">
        <f t="shared" si="276"/>
        <v>9118.9699999999993</v>
      </c>
      <c r="G977" s="138">
        <v>0</v>
      </c>
      <c r="H977" s="138">
        <v>0</v>
      </c>
      <c r="I977" s="138">
        <v>0</v>
      </c>
      <c r="J977" s="138">
        <v>0</v>
      </c>
      <c r="K977" s="138">
        <v>1080</v>
      </c>
      <c r="L977" s="138">
        <v>1007</v>
      </c>
      <c r="M977" s="138">
        <v>0</v>
      </c>
      <c r="N977" s="138">
        <v>6616.69</v>
      </c>
      <c r="O977" s="138">
        <v>415.28</v>
      </c>
      <c r="P977" s="138">
        <v>0</v>
      </c>
      <c r="Q977" s="138">
        <v>0</v>
      </c>
      <c r="R977" s="138">
        <v>0</v>
      </c>
      <c r="S977" s="137"/>
    </row>
    <row r="978" spans="1:19" x14ac:dyDescent="0.25">
      <c r="A978" s="87" t="s">
        <v>77</v>
      </c>
      <c r="B978" s="52">
        <v>10046.73</v>
      </c>
      <c r="C978" s="96"/>
      <c r="D978" s="58"/>
      <c r="E978" s="58">
        <f t="shared" si="277"/>
        <v>10046.73</v>
      </c>
      <c r="F978" s="138">
        <f t="shared" si="276"/>
        <v>10046.73</v>
      </c>
      <c r="G978" s="138">
        <v>0</v>
      </c>
      <c r="H978" s="138">
        <v>0</v>
      </c>
      <c r="I978" s="138">
        <v>0</v>
      </c>
      <c r="J978" s="138">
        <v>0</v>
      </c>
      <c r="K978" s="138">
        <v>5976.72</v>
      </c>
      <c r="L978" s="138">
        <v>0</v>
      </c>
      <c r="M978" s="138">
        <v>0</v>
      </c>
      <c r="N978" s="138">
        <v>45.01</v>
      </c>
      <c r="O978" s="138">
        <v>0</v>
      </c>
      <c r="P978" s="138">
        <v>0</v>
      </c>
      <c r="Q978" s="138">
        <v>4025</v>
      </c>
      <c r="R978" s="138">
        <v>0</v>
      </c>
      <c r="S978" s="137"/>
    </row>
    <row r="979" spans="1:19" x14ac:dyDescent="0.25">
      <c r="A979" s="87" t="s">
        <v>240</v>
      </c>
      <c r="B979" s="52">
        <v>3033.04</v>
      </c>
      <c r="C979" s="96"/>
      <c r="D979" s="58"/>
      <c r="E979" s="58">
        <f t="shared" ref="E979" si="280">+B979+C979+D979</f>
        <v>3033.04</v>
      </c>
      <c r="F979" s="138">
        <f t="shared" ref="F979" si="281">SUM(G979:R979)</f>
        <v>3033.04</v>
      </c>
      <c r="G979" s="138">
        <v>0</v>
      </c>
      <c r="H979" s="138">
        <v>0</v>
      </c>
      <c r="I979" s="138">
        <v>0</v>
      </c>
      <c r="J979" s="138">
        <v>0</v>
      </c>
      <c r="K979" s="138">
        <v>425.02</v>
      </c>
      <c r="L979" s="138">
        <v>1308</v>
      </c>
      <c r="M979" s="138">
        <v>650.01</v>
      </c>
      <c r="N979" s="138">
        <v>650.01</v>
      </c>
      <c r="O979" s="138">
        <v>0</v>
      </c>
      <c r="P979" s="138">
        <v>0</v>
      </c>
      <c r="Q979" s="138">
        <v>0</v>
      </c>
      <c r="R979" s="138">
        <v>0</v>
      </c>
      <c r="S979" s="137"/>
    </row>
    <row r="980" spans="1:19" x14ac:dyDescent="0.25">
      <c r="A980" s="59" t="s">
        <v>67</v>
      </c>
      <c r="B980" s="52">
        <v>3273</v>
      </c>
      <c r="C980" s="96"/>
      <c r="D980" s="58"/>
      <c r="E980" s="58">
        <f t="shared" si="277"/>
        <v>3273</v>
      </c>
      <c r="F980" s="138">
        <f t="shared" si="276"/>
        <v>3273</v>
      </c>
      <c r="G980" s="138">
        <v>0</v>
      </c>
      <c r="H980" s="138">
        <v>0</v>
      </c>
      <c r="I980" s="138">
        <v>0</v>
      </c>
      <c r="J980" s="138">
        <v>1479</v>
      </c>
      <c r="K980" s="138">
        <v>0</v>
      </c>
      <c r="L980" s="138">
        <v>105</v>
      </c>
      <c r="M980" s="138">
        <v>105</v>
      </c>
      <c r="N980" s="138">
        <v>1584</v>
      </c>
      <c r="O980" s="138">
        <v>0</v>
      </c>
      <c r="P980" s="138">
        <v>0</v>
      </c>
      <c r="Q980" s="138">
        <v>0</v>
      </c>
      <c r="R980" s="138">
        <v>0</v>
      </c>
      <c r="S980" s="137"/>
    </row>
    <row r="981" spans="1:19" x14ac:dyDescent="0.25">
      <c r="A981" s="59" t="s">
        <v>225</v>
      </c>
      <c r="B981" s="52">
        <v>2306.06</v>
      </c>
      <c r="C981" s="96"/>
      <c r="D981" s="58"/>
      <c r="E981" s="58">
        <f t="shared" ref="E981:E984" si="282">+B981+C981+D981</f>
        <v>2306.06</v>
      </c>
      <c r="F981" s="138">
        <f t="shared" ref="F981:F984" si="283">SUM(G981:R981)</f>
        <v>2306.06</v>
      </c>
      <c r="G981" s="138">
        <v>0</v>
      </c>
      <c r="H981" s="138">
        <v>0</v>
      </c>
      <c r="I981" s="138">
        <v>0</v>
      </c>
      <c r="J981" s="138">
        <v>0</v>
      </c>
      <c r="K981" s="138">
        <v>722.06</v>
      </c>
      <c r="L981" s="138">
        <v>0</v>
      </c>
      <c r="M981" s="138">
        <v>1584</v>
      </c>
      <c r="N981" s="138">
        <v>0</v>
      </c>
      <c r="O981" s="138">
        <v>0</v>
      </c>
      <c r="P981" s="138">
        <v>0</v>
      </c>
      <c r="Q981" s="138">
        <v>0</v>
      </c>
      <c r="R981" s="138">
        <v>0</v>
      </c>
      <c r="S981" s="137"/>
    </row>
    <row r="982" spans="1:19" x14ac:dyDescent="0.25">
      <c r="A982" s="59" t="s">
        <v>9</v>
      </c>
      <c r="B982" s="58">
        <v>6798.88</v>
      </c>
      <c r="C982" s="96"/>
      <c r="D982" s="58"/>
      <c r="E982" s="58">
        <f t="shared" si="282"/>
        <v>6798.88</v>
      </c>
      <c r="F982" s="138">
        <f t="shared" si="283"/>
        <v>6798.88</v>
      </c>
      <c r="G982" s="138">
        <v>0</v>
      </c>
      <c r="H982" s="138">
        <v>0</v>
      </c>
      <c r="I982" s="138">
        <v>0</v>
      </c>
      <c r="J982" s="138">
        <v>0</v>
      </c>
      <c r="K982" s="138">
        <v>1684</v>
      </c>
      <c r="L982" s="138">
        <v>0</v>
      </c>
      <c r="M982" s="138">
        <v>5114.88</v>
      </c>
      <c r="N982" s="138">
        <v>0</v>
      </c>
      <c r="O982" s="138">
        <v>0</v>
      </c>
      <c r="P982" s="138">
        <v>0</v>
      </c>
      <c r="Q982" s="138">
        <v>0</v>
      </c>
      <c r="R982" s="138">
        <v>0</v>
      </c>
      <c r="S982" s="137"/>
    </row>
    <row r="983" spans="1:19" x14ac:dyDescent="0.25">
      <c r="A983" s="59" t="s">
        <v>250</v>
      </c>
      <c r="B983" s="58">
        <v>2903.92</v>
      </c>
      <c r="C983" s="96"/>
      <c r="D983" s="58"/>
      <c r="E983" s="58">
        <f t="shared" si="282"/>
        <v>2903.92</v>
      </c>
      <c r="F983" s="138">
        <f t="shared" si="283"/>
        <v>2903.92</v>
      </c>
      <c r="G983" s="138">
        <v>0</v>
      </c>
      <c r="H983" s="138">
        <v>0</v>
      </c>
      <c r="I983" s="138">
        <v>0</v>
      </c>
      <c r="J983" s="138">
        <v>0</v>
      </c>
      <c r="K983" s="138">
        <v>2000</v>
      </c>
      <c r="L983" s="138">
        <v>0</v>
      </c>
      <c r="M983" s="138">
        <v>0</v>
      </c>
      <c r="N983" s="138">
        <v>0</v>
      </c>
      <c r="O983" s="138">
        <v>903.92</v>
      </c>
      <c r="P983" s="138">
        <v>0</v>
      </c>
      <c r="Q983" s="138">
        <v>0</v>
      </c>
      <c r="R983" s="138">
        <v>0</v>
      </c>
      <c r="S983" s="137"/>
    </row>
    <row r="984" spans="1:19" x14ac:dyDescent="0.25">
      <c r="A984" s="59" t="s">
        <v>247</v>
      </c>
      <c r="B984" s="58">
        <v>259</v>
      </c>
      <c r="C984" s="96"/>
      <c r="D984" s="58"/>
      <c r="E984" s="58">
        <f t="shared" si="282"/>
        <v>259</v>
      </c>
      <c r="F984" s="138">
        <f t="shared" si="283"/>
        <v>259</v>
      </c>
      <c r="G984" s="138">
        <v>0</v>
      </c>
      <c r="H984" s="138">
        <v>0</v>
      </c>
      <c r="I984" s="138">
        <v>0</v>
      </c>
      <c r="J984" s="138">
        <v>0</v>
      </c>
      <c r="K984" s="138">
        <v>0</v>
      </c>
      <c r="L984" s="138">
        <v>0</v>
      </c>
      <c r="M984" s="138">
        <v>0</v>
      </c>
      <c r="N984" s="138">
        <v>259</v>
      </c>
      <c r="O984" s="138">
        <v>0</v>
      </c>
      <c r="P984" s="138">
        <v>0</v>
      </c>
      <c r="Q984" s="138">
        <v>0</v>
      </c>
      <c r="R984" s="138">
        <v>0</v>
      </c>
      <c r="S984" s="137"/>
    </row>
    <row r="985" spans="1:19" x14ac:dyDescent="0.25">
      <c r="A985" s="59" t="s">
        <v>62</v>
      </c>
      <c r="B985" s="58">
        <v>13219.02</v>
      </c>
      <c r="C985" s="96"/>
      <c r="D985" s="58"/>
      <c r="E985" s="58">
        <f t="shared" si="277"/>
        <v>13219.02</v>
      </c>
      <c r="F985" s="138">
        <f t="shared" si="276"/>
        <v>13219.02</v>
      </c>
      <c r="G985" s="138">
        <v>0</v>
      </c>
      <c r="H985" s="138">
        <v>0</v>
      </c>
      <c r="I985" s="138">
        <v>0</v>
      </c>
      <c r="J985" s="138">
        <v>0</v>
      </c>
      <c r="K985" s="138">
        <v>360</v>
      </c>
      <c r="L985" s="138">
        <v>0</v>
      </c>
      <c r="M985" s="138">
        <v>665.5</v>
      </c>
      <c r="N985" s="138">
        <v>4062.12</v>
      </c>
      <c r="O985" s="138">
        <v>8131.4</v>
      </c>
      <c r="P985" s="138">
        <v>0</v>
      </c>
      <c r="Q985" s="138">
        <v>0</v>
      </c>
      <c r="R985" s="138">
        <v>0</v>
      </c>
      <c r="S985" s="137"/>
    </row>
    <row r="986" spans="1:19" x14ac:dyDescent="0.25">
      <c r="A986" s="59" t="s">
        <v>10</v>
      </c>
      <c r="B986" s="58">
        <v>113664.8</v>
      </c>
      <c r="C986" s="96"/>
      <c r="D986" s="58"/>
      <c r="E986" s="58">
        <f t="shared" si="277"/>
        <v>113664.8</v>
      </c>
      <c r="F986" s="138">
        <f t="shared" si="276"/>
        <v>113664.8</v>
      </c>
      <c r="G986" s="138">
        <v>0</v>
      </c>
      <c r="H986" s="138">
        <v>400</v>
      </c>
      <c r="I986" s="138">
        <v>400</v>
      </c>
      <c r="J986" s="138">
        <v>3520</v>
      </c>
      <c r="K986" s="138">
        <v>18208.8</v>
      </c>
      <c r="L986" s="138">
        <v>10440</v>
      </c>
      <c r="M986" s="138">
        <v>30348</v>
      </c>
      <c r="N986" s="138">
        <v>10116</v>
      </c>
      <c r="O986" s="138">
        <v>10116</v>
      </c>
      <c r="P986" s="138">
        <v>0</v>
      </c>
      <c r="Q986" s="138">
        <v>20000</v>
      </c>
      <c r="R986" s="138">
        <v>10116</v>
      </c>
      <c r="S986" s="137"/>
    </row>
    <row r="987" spans="1:19" x14ac:dyDescent="0.25">
      <c r="A987" s="59" t="s">
        <v>12</v>
      </c>
      <c r="B987" s="58">
        <v>1512</v>
      </c>
      <c r="C987" s="96"/>
      <c r="D987" s="58"/>
      <c r="E987" s="58">
        <f t="shared" si="277"/>
        <v>1512</v>
      </c>
      <c r="F987" s="138">
        <f t="shared" si="276"/>
        <v>1512</v>
      </c>
      <c r="G987" s="138">
        <v>0</v>
      </c>
      <c r="H987" s="138">
        <v>0</v>
      </c>
      <c r="I987" s="138">
        <v>0</v>
      </c>
      <c r="J987" s="138">
        <v>0</v>
      </c>
      <c r="K987" s="138">
        <v>1512</v>
      </c>
      <c r="L987" s="138">
        <v>0</v>
      </c>
      <c r="M987" s="138">
        <v>0</v>
      </c>
      <c r="N987" s="138">
        <v>0</v>
      </c>
      <c r="O987" s="138">
        <v>0</v>
      </c>
      <c r="P987" s="138">
        <v>0</v>
      </c>
      <c r="Q987" s="138">
        <v>0</v>
      </c>
      <c r="R987" s="138">
        <v>0</v>
      </c>
      <c r="S987" s="137"/>
    </row>
    <row r="988" spans="1:19" x14ac:dyDescent="0.25">
      <c r="A988" s="59" t="s">
        <v>13</v>
      </c>
      <c r="B988" s="58">
        <v>3871</v>
      </c>
      <c r="C988" s="96"/>
      <c r="D988" s="58"/>
      <c r="E988" s="58">
        <f t="shared" si="277"/>
        <v>3871</v>
      </c>
      <c r="F988" s="138">
        <f t="shared" si="276"/>
        <v>3871</v>
      </c>
      <c r="G988" s="138">
        <v>0</v>
      </c>
      <c r="H988" s="138">
        <v>0</v>
      </c>
      <c r="I988" s="138">
        <v>369</v>
      </c>
      <c r="J988" s="138">
        <v>0</v>
      </c>
      <c r="K988" s="138">
        <v>450</v>
      </c>
      <c r="L988" s="138">
        <v>988</v>
      </c>
      <c r="M988" s="138">
        <v>538</v>
      </c>
      <c r="N988" s="138">
        <v>538</v>
      </c>
      <c r="O988" s="138">
        <v>988</v>
      </c>
      <c r="P988" s="138">
        <v>0</v>
      </c>
      <c r="Q988" s="138">
        <v>0</v>
      </c>
      <c r="R988" s="138">
        <v>0</v>
      </c>
      <c r="S988" s="137"/>
    </row>
    <row r="989" spans="1:19" x14ac:dyDescent="0.25">
      <c r="A989" s="59" t="s">
        <v>89</v>
      </c>
      <c r="B989" s="58">
        <v>180</v>
      </c>
      <c r="C989" s="96"/>
      <c r="D989" s="58"/>
      <c r="E989" s="58">
        <f t="shared" ref="E989" si="284">+B989+C989+D989</f>
        <v>180</v>
      </c>
      <c r="F989" s="138">
        <f t="shared" si="276"/>
        <v>180</v>
      </c>
      <c r="G989" s="138">
        <v>0</v>
      </c>
      <c r="H989" s="138">
        <v>0</v>
      </c>
      <c r="I989" s="138">
        <v>0</v>
      </c>
      <c r="J989" s="138">
        <v>0</v>
      </c>
      <c r="K989" s="138">
        <v>180</v>
      </c>
      <c r="L989" s="138">
        <v>0</v>
      </c>
      <c r="M989" s="138">
        <v>0</v>
      </c>
      <c r="N989" s="138">
        <v>0</v>
      </c>
      <c r="O989" s="138">
        <v>0</v>
      </c>
      <c r="P989" s="138">
        <v>0</v>
      </c>
      <c r="Q989" s="138">
        <v>0</v>
      </c>
      <c r="R989" s="138">
        <v>0</v>
      </c>
      <c r="S989" s="137"/>
    </row>
    <row r="990" spans="1:19" x14ac:dyDescent="0.25">
      <c r="A990" s="59" t="s">
        <v>69</v>
      </c>
      <c r="B990" s="52">
        <v>17144.099999999999</v>
      </c>
      <c r="C990" s="96"/>
      <c r="D990" s="58"/>
      <c r="E990" s="58">
        <f t="shared" si="277"/>
        <v>17144.099999999999</v>
      </c>
      <c r="F990" s="138">
        <f t="shared" si="276"/>
        <v>17144.099999999999</v>
      </c>
      <c r="G990" s="138">
        <v>0</v>
      </c>
      <c r="H990" s="138">
        <v>0</v>
      </c>
      <c r="I990" s="138">
        <v>0</v>
      </c>
      <c r="J990" s="138">
        <v>0</v>
      </c>
      <c r="K990" s="138">
        <v>1265.0999999999999</v>
      </c>
      <c r="L990" s="138">
        <v>0</v>
      </c>
      <c r="M990" s="138">
        <v>0</v>
      </c>
      <c r="N990" s="138">
        <v>0</v>
      </c>
      <c r="O990" s="138">
        <v>0</v>
      </c>
      <c r="P990" s="138">
        <v>0</v>
      </c>
      <c r="Q990" s="138">
        <v>15879</v>
      </c>
      <c r="R990" s="138">
        <v>0</v>
      </c>
      <c r="S990" s="137"/>
    </row>
    <row r="991" spans="1:19" x14ac:dyDescent="0.25">
      <c r="A991" s="87" t="s">
        <v>70</v>
      </c>
      <c r="B991" s="52">
        <v>18117</v>
      </c>
      <c r="C991" s="96"/>
      <c r="D991" s="58"/>
      <c r="E991" s="58">
        <f t="shared" si="277"/>
        <v>18117</v>
      </c>
      <c r="F991" s="138">
        <f t="shared" si="276"/>
        <v>18117</v>
      </c>
      <c r="G991" s="138">
        <v>0</v>
      </c>
      <c r="H991" s="138">
        <v>0</v>
      </c>
      <c r="I991" s="138">
        <v>0</v>
      </c>
      <c r="J991" s="138">
        <v>0</v>
      </c>
      <c r="K991" s="138">
        <v>5294</v>
      </c>
      <c r="L991" s="138">
        <v>0</v>
      </c>
      <c r="M991" s="138">
        <v>0</v>
      </c>
      <c r="N991" s="138">
        <v>0</v>
      </c>
      <c r="O991" s="138">
        <v>0</v>
      </c>
      <c r="P991" s="138">
        <v>0</v>
      </c>
      <c r="Q991" s="138">
        <v>12823</v>
      </c>
      <c r="R991" s="138">
        <v>0</v>
      </c>
      <c r="S991" s="137"/>
    </row>
    <row r="992" spans="1:19" x14ac:dyDescent="0.25">
      <c r="A992" s="59" t="s">
        <v>36</v>
      </c>
      <c r="B992" s="58">
        <v>180</v>
      </c>
      <c r="C992" s="96"/>
      <c r="D992" s="58"/>
      <c r="E992" s="58">
        <f t="shared" si="277"/>
        <v>180</v>
      </c>
      <c r="F992" s="138">
        <f t="shared" si="276"/>
        <v>180</v>
      </c>
      <c r="G992" s="138">
        <v>0</v>
      </c>
      <c r="H992" s="138">
        <v>0</v>
      </c>
      <c r="I992" s="138">
        <v>0</v>
      </c>
      <c r="J992" s="138">
        <v>0</v>
      </c>
      <c r="K992" s="138">
        <v>180</v>
      </c>
      <c r="L992" s="138">
        <v>0</v>
      </c>
      <c r="M992" s="138">
        <v>0</v>
      </c>
      <c r="N992" s="138">
        <v>0</v>
      </c>
      <c r="O992" s="138">
        <v>0</v>
      </c>
      <c r="P992" s="138">
        <v>0</v>
      </c>
      <c r="Q992" s="138">
        <v>0</v>
      </c>
      <c r="R992" s="138">
        <v>0</v>
      </c>
      <c r="S992" s="137"/>
    </row>
    <row r="993" spans="1:19" x14ac:dyDescent="0.25">
      <c r="A993" s="59" t="s">
        <v>5</v>
      </c>
      <c r="B993" s="58">
        <v>0</v>
      </c>
      <c r="C993" s="96"/>
      <c r="D993" s="58"/>
      <c r="E993" s="58">
        <f t="shared" si="277"/>
        <v>0</v>
      </c>
      <c r="F993" s="138">
        <f t="shared" si="276"/>
        <v>0</v>
      </c>
      <c r="G993" s="138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7"/>
    </row>
    <row r="994" spans="1:19" x14ac:dyDescent="0.25">
      <c r="F994" s="138" t="s">
        <v>75</v>
      </c>
      <c r="G994" s="138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7"/>
    </row>
    <row r="995" spans="1:19" ht="18.75" x14ac:dyDescent="0.4">
      <c r="A995" s="32" t="s">
        <v>111</v>
      </c>
      <c r="B995" s="40"/>
      <c r="C995" s="40"/>
      <c r="D995" s="40"/>
      <c r="E995" s="51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7"/>
    </row>
    <row r="996" spans="1:19" x14ac:dyDescent="0.25">
      <c r="A996" s="59"/>
      <c r="B996" s="58"/>
      <c r="C996" s="58"/>
      <c r="D996" s="58"/>
      <c r="E996" s="58">
        <f t="shared" ref="E996:E997" si="285">+B996+C996+D996</f>
        <v>0</v>
      </c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7"/>
    </row>
    <row r="997" spans="1:19" x14ac:dyDescent="0.25">
      <c r="A997" s="59"/>
      <c r="B997" s="58"/>
      <c r="C997" s="58"/>
      <c r="D997" s="58"/>
      <c r="E997" s="58">
        <f t="shared" si="285"/>
        <v>0</v>
      </c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7"/>
    </row>
    <row r="998" spans="1:19" ht="18.75" x14ac:dyDescent="0.4">
      <c r="A998" s="32" t="s">
        <v>112</v>
      </c>
      <c r="B998" s="40"/>
      <c r="C998" s="40"/>
      <c r="D998" s="40"/>
      <c r="E998" s="51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7"/>
    </row>
    <row r="999" spans="1:19" x14ac:dyDescent="0.25">
      <c r="A999" s="60" t="s">
        <v>157</v>
      </c>
      <c r="B999" s="58">
        <v>0</v>
      </c>
      <c r="C999" s="58"/>
      <c r="D999" s="58"/>
      <c r="E999" s="58">
        <f t="shared" ref="E999:E1000" si="286">+B999+C999+D999</f>
        <v>0</v>
      </c>
      <c r="F999" s="138"/>
      <c r="G999" s="138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7"/>
    </row>
    <row r="1000" spans="1:19" x14ac:dyDescent="0.25">
      <c r="A1000" s="60" t="s">
        <v>75</v>
      </c>
      <c r="B1000" s="61">
        <v>0</v>
      </c>
      <c r="C1000" s="58"/>
      <c r="D1000" s="58"/>
      <c r="E1000" s="58">
        <f t="shared" si="286"/>
        <v>0</v>
      </c>
      <c r="F1000" s="138"/>
      <c r="G1000" s="138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7"/>
    </row>
    <row r="1001" spans="1:19" ht="18.75" x14ac:dyDescent="0.4">
      <c r="A1001" s="34" t="s">
        <v>113</v>
      </c>
      <c r="B1001" s="40"/>
      <c r="C1001" s="40"/>
      <c r="D1001" s="40"/>
      <c r="E1001" s="51"/>
      <c r="F1001" s="138"/>
      <c r="G1001" s="138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7"/>
    </row>
    <row r="1002" spans="1:19" x14ac:dyDescent="0.25">
      <c r="A1002" s="59"/>
      <c r="B1002" s="58"/>
      <c r="C1002" s="58"/>
      <c r="D1002" s="58"/>
      <c r="E1002" s="58">
        <f t="shared" ref="E1002" si="287">+B1002+C1002+D1002</f>
        <v>0</v>
      </c>
      <c r="F1002" s="138"/>
      <c r="G1002" s="138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7"/>
    </row>
    <row r="1003" spans="1:19" x14ac:dyDescent="0.25">
      <c r="F1003" s="138"/>
      <c r="G1003" s="138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7"/>
    </row>
    <row r="1004" spans="1:19" x14ac:dyDescent="0.25">
      <c r="F1004" s="138"/>
      <c r="G1004" s="138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7"/>
    </row>
    <row r="1005" spans="1:19" x14ac:dyDescent="0.25">
      <c r="F1005" s="138"/>
      <c r="G1005" s="138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7"/>
    </row>
    <row r="1006" spans="1:19" ht="18.75" x14ac:dyDescent="0.4">
      <c r="A1006" s="168" t="s">
        <v>90</v>
      </c>
      <c r="B1006" s="168"/>
      <c r="C1006" s="168"/>
      <c r="D1006" s="168"/>
      <c r="E1006" s="168"/>
      <c r="F1006" s="158"/>
      <c r="G1006" s="158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7"/>
    </row>
    <row r="1007" spans="1:19" x14ac:dyDescent="0.25">
      <c r="F1007" s="138"/>
      <c r="G1007" s="138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7"/>
    </row>
    <row r="1008" spans="1:19" ht="30" x14ac:dyDescent="0.25">
      <c r="A1008" s="33" t="s">
        <v>105</v>
      </c>
      <c r="B1008" s="38" t="s">
        <v>106</v>
      </c>
      <c r="C1008" s="38" t="s">
        <v>107</v>
      </c>
      <c r="D1008" s="38" t="s">
        <v>108</v>
      </c>
      <c r="E1008" s="38" t="s">
        <v>109</v>
      </c>
      <c r="F1008" s="138"/>
      <c r="G1008" s="38" t="s">
        <v>192</v>
      </c>
      <c r="H1008" s="38" t="s">
        <v>193</v>
      </c>
      <c r="I1008" s="38" t="s">
        <v>194</v>
      </c>
      <c r="J1008" s="38" t="s">
        <v>195</v>
      </c>
      <c r="K1008" s="38" t="s">
        <v>196</v>
      </c>
      <c r="L1008" s="38" t="s">
        <v>197</v>
      </c>
      <c r="M1008" s="38" t="s">
        <v>198</v>
      </c>
      <c r="N1008" s="38" t="s">
        <v>199</v>
      </c>
      <c r="O1008" s="38" t="s">
        <v>200</v>
      </c>
      <c r="P1008" s="38" t="s">
        <v>201</v>
      </c>
      <c r="Q1008" s="38" t="s">
        <v>202</v>
      </c>
      <c r="R1008" s="38" t="s">
        <v>203</v>
      </c>
      <c r="S1008" s="137"/>
    </row>
    <row r="1009" spans="1:34" ht="18.75" x14ac:dyDescent="0.4">
      <c r="A1009" s="32" t="s">
        <v>110</v>
      </c>
      <c r="B1009" s="37">
        <f>SUM(B1010:B1040)</f>
        <v>2151055.7099999995</v>
      </c>
      <c r="C1009" s="37">
        <f>SUM(C1010:C1040)</f>
        <v>0</v>
      </c>
      <c r="D1009" s="37">
        <f>SUM(D1010:D1040)</f>
        <v>0</v>
      </c>
      <c r="E1009" s="37">
        <f>SUM(E1010:E1040)</f>
        <v>2151055.7099999995</v>
      </c>
      <c r="F1009" s="138"/>
      <c r="G1009" s="138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7"/>
    </row>
    <row r="1010" spans="1:34" s="3" customFormat="1" ht="11.25" customHeight="1" x14ac:dyDescent="0.15">
      <c r="A1010" s="59" t="s">
        <v>1</v>
      </c>
      <c r="B1010" s="120">
        <v>29190.5</v>
      </c>
      <c r="C1010" s="121"/>
      <c r="D1010" s="58"/>
      <c r="E1010" s="58">
        <f>+B1010+C1010+D1010</f>
        <v>29190.5</v>
      </c>
      <c r="F1010" s="138">
        <f t="shared" ref="F1010:F1030" si="288">SUM(G1010:R1010)</f>
        <v>29190.5</v>
      </c>
      <c r="G1010" s="138">
        <v>0</v>
      </c>
      <c r="H1010" s="138">
        <v>0</v>
      </c>
      <c r="I1010" s="138">
        <v>0</v>
      </c>
      <c r="J1010" s="152">
        <v>847.5</v>
      </c>
      <c r="K1010" s="138">
        <v>12000</v>
      </c>
      <c r="L1010" s="152">
        <v>1510</v>
      </c>
      <c r="M1010" s="138">
        <v>1301</v>
      </c>
      <c r="N1010" s="152">
        <v>929</v>
      </c>
      <c r="O1010" s="138">
        <v>6907</v>
      </c>
      <c r="P1010" s="152">
        <v>4825</v>
      </c>
      <c r="Q1010" s="138">
        <v>871</v>
      </c>
      <c r="R1010" s="152">
        <v>0</v>
      </c>
      <c r="S1010" s="139"/>
      <c r="T1010" s="16"/>
      <c r="U1010" s="4"/>
      <c r="V1010" s="16"/>
      <c r="W1010" s="4"/>
      <c r="X1010" s="16"/>
      <c r="Y1010" s="4"/>
      <c r="Z1010" s="16"/>
      <c r="AA1010" s="4"/>
      <c r="AB1010" s="16"/>
      <c r="AC1010" s="4"/>
      <c r="AD1010" s="16"/>
      <c r="AE1010" s="4"/>
      <c r="AF1010" s="16"/>
      <c r="AG1010" s="4"/>
    </row>
    <row r="1011" spans="1:34" s="3" customFormat="1" ht="11.25" customHeight="1" x14ac:dyDescent="0.15">
      <c r="A1011" s="59" t="s">
        <v>2</v>
      </c>
      <c r="B1011" s="120">
        <v>19250</v>
      </c>
      <c r="C1011" s="122"/>
      <c r="D1011" s="58"/>
      <c r="E1011" s="58">
        <f t="shared" ref="E1011:E1030" si="289">+B1011+C1011+D1011</f>
        <v>19250</v>
      </c>
      <c r="F1011" s="138">
        <f t="shared" si="288"/>
        <v>19250</v>
      </c>
      <c r="G1011" s="146">
        <v>0</v>
      </c>
      <c r="H1011" s="142">
        <v>0</v>
      </c>
      <c r="I1011" s="146">
        <v>0</v>
      </c>
      <c r="J1011" s="160">
        <v>0</v>
      </c>
      <c r="K1011" s="146">
        <v>13000</v>
      </c>
      <c r="L1011" s="160">
        <v>0</v>
      </c>
      <c r="M1011" s="146">
        <v>0</v>
      </c>
      <c r="N1011" s="160">
        <v>0</v>
      </c>
      <c r="O1011" s="146">
        <v>3750</v>
      </c>
      <c r="P1011" s="160">
        <v>2500</v>
      </c>
      <c r="Q1011" s="146">
        <v>0</v>
      </c>
      <c r="R1011" s="160">
        <v>0</v>
      </c>
      <c r="S1011" s="140"/>
      <c r="T1011" s="18"/>
      <c r="U1011" s="8"/>
      <c r="V1011" s="18"/>
      <c r="W1011" s="8"/>
      <c r="X1011" s="18"/>
      <c r="Y1011" s="8"/>
      <c r="Z1011" s="18"/>
      <c r="AA1011" s="8"/>
      <c r="AB1011" s="18"/>
      <c r="AC1011" s="8"/>
      <c r="AD1011" s="18"/>
      <c r="AE1011" s="8"/>
      <c r="AF1011" s="18"/>
      <c r="AG1011" s="8"/>
      <c r="AH1011" s="7"/>
    </row>
    <row r="1012" spans="1:34" s="3" customFormat="1" ht="11.25" customHeight="1" x14ac:dyDescent="0.15">
      <c r="A1012" s="59" t="s">
        <v>3</v>
      </c>
      <c r="B1012" s="120">
        <v>97595.39</v>
      </c>
      <c r="C1012" s="122"/>
      <c r="D1012" s="58"/>
      <c r="E1012" s="58">
        <f t="shared" si="289"/>
        <v>97595.39</v>
      </c>
      <c r="F1012" s="138">
        <f t="shared" si="288"/>
        <v>97595.39</v>
      </c>
      <c r="G1012" s="146">
        <v>0</v>
      </c>
      <c r="H1012" s="142">
        <v>0</v>
      </c>
      <c r="I1012" s="146">
        <v>0</v>
      </c>
      <c r="J1012" s="160">
        <v>17825</v>
      </c>
      <c r="K1012" s="146">
        <v>27000</v>
      </c>
      <c r="L1012" s="160">
        <v>21981.39</v>
      </c>
      <c r="M1012" s="146">
        <v>14164</v>
      </c>
      <c r="N1012" s="160">
        <v>0</v>
      </c>
      <c r="O1012" s="146">
        <v>7840</v>
      </c>
      <c r="P1012" s="160">
        <v>3890</v>
      </c>
      <c r="Q1012" s="146">
        <v>4895</v>
      </c>
      <c r="R1012" s="160">
        <v>0</v>
      </c>
      <c r="S1012" s="140"/>
      <c r="T1012" s="18"/>
      <c r="U1012" s="8"/>
      <c r="V1012" s="18"/>
      <c r="W1012" s="8"/>
      <c r="X1012" s="18"/>
      <c r="Y1012" s="8"/>
      <c r="Z1012" s="18"/>
      <c r="AA1012" s="8"/>
      <c r="AB1012" s="18"/>
      <c r="AC1012" s="8"/>
      <c r="AD1012" s="18"/>
      <c r="AE1012" s="8"/>
      <c r="AF1012" s="18"/>
      <c r="AG1012" s="8"/>
      <c r="AH1012" s="7"/>
    </row>
    <row r="1013" spans="1:34" s="3" customFormat="1" ht="11.25" customHeight="1" x14ac:dyDescent="0.15">
      <c r="A1013" s="59" t="s">
        <v>18</v>
      </c>
      <c r="B1013" s="121">
        <v>753750.86</v>
      </c>
      <c r="C1013" s="122"/>
      <c r="D1013" s="58"/>
      <c r="E1013" s="58">
        <f t="shared" si="289"/>
        <v>753750.86</v>
      </c>
      <c r="F1013" s="138">
        <f t="shared" si="288"/>
        <v>753750.86</v>
      </c>
      <c r="G1013" s="146">
        <v>0</v>
      </c>
      <c r="H1013" s="142">
        <v>0</v>
      </c>
      <c r="I1013" s="146">
        <v>0</v>
      </c>
      <c r="J1013" s="160">
        <v>0</v>
      </c>
      <c r="K1013" s="146">
        <v>233974</v>
      </c>
      <c r="L1013" s="160">
        <f>338351.86-4200-929</f>
        <v>333222.86</v>
      </c>
      <c r="M1013" s="146">
        <v>0</v>
      </c>
      <c r="N1013" s="160">
        <v>0</v>
      </c>
      <c r="O1013" s="146">
        <v>78604</v>
      </c>
      <c r="P1013" s="160">
        <v>28970</v>
      </c>
      <c r="Q1013" s="146">
        <v>78980</v>
      </c>
      <c r="R1013" s="160">
        <v>0</v>
      </c>
      <c r="S1013" s="140"/>
      <c r="T1013" s="18"/>
      <c r="U1013" s="8"/>
      <c r="V1013" s="18"/>
      <c r="W1013" s="8"/>
      <c r="X1013" s="18"/>
      <c r="Y1013" s="8"/>
      <c r="Z1013" s="18"/>
      <c r="AA1013" s="8"/>
      <c r="AB1013" s="18"/>
      <c r="AC1013" s="8"/>
      <c r="AD1013" s="18"/>
      <c r="AE1013" s="8"/>
      <c r="AF1013" s="18"/>
      <c r="AG1013" s="8"/>
      <c r="AH1013" s="7"/>
    </row>
    <row r="1014" spans="1:34" s="3" customFormat="1" ht="11.25" customHeight="1" x14ac:dyDescent="0.15">
      <c r="A1014" s="59" t="s">
        <v>6</v>
      </c>
      <c r="B1014" s="123">
        <v>83947</v>
      </c>
      <c r="C1014" s="120"/>
      <c r="D1014" s="58"/>
      <c r="E1014" s="58">
        <f t="shared" si="289"/>
        <v>83947</v>
      </c>
      <c r="F1014" s="138">
        <f t="shared" si="288"/>
        <v>83947</v>
      </c>
      <c r="G1014" s="146">
        <v>0</v>
      </c>
      <c r="H1014" s="142">
        <v>0</v>
      </c>
      <c r="I1014" s="146">
        <v>0</v>
      </c>
      <c r="J1014" s="160">
        <v>0</v>
      </c>
      <c r="K1014" s="146">
        <v>23655</v>
      </c>
      <c r="L1014" s="160">
        <v>0</v>
      </c>
      <c r="M1014" s="146">
        <v>15675</v>
      </c>
      <c r="N1014" s="160">
        <v>5049</v>
      </c>
      <c r="O1014" s="146">
        <v>10777</v>
      </c>
      <c r="P1014" s="160">
        <v>0</v>
      </c>
      <c r="Q1014" s="146">
        <v>9821</v>
      </c>
      <c r="R1014" s="160">
        <v>18970</v>
      </c>
      <c r="S1014" s="140"/>
      <c r="T1014" s="18"/>
      <c r="U1014" s="8"/>
      <c r="V1014" s="18"/>
      <c r="W1014" s="8"/>
      <c r="X1014" s="18"/>
      <c r="Y1014" s="8"/>
      <c r="Z1014" s="18"/>
      <c r="AA1014" s="8"/>
      <c r="AB1014" s="18"/>
      <c r="AC1014" s="8"/>
      <c r="AD1014" s="18"/>
      <c r="AE1014" s="8"/>
      <c r="AF1014" s="18"/>
      <c r="AG1014" s="8"/>
      <c r="AH1014" s="7"/>
    </row>
    <row r="1015" spans="1:34" s="3" customFormat="1" ht="11.25" customHeight="1" x14ac:dyDescent="0.15">
      <c r="A1015" s="59" t="s">
        <v>88</v>
      </c>
      <c r="B1015" s="123">
        <v>6995</v>
      </c>
      <c r="C1015" s="120"/>
      <c r="D1015" s="58"/>
      <c r="E1015" s="58">
        <f t="shared" si="289"/>
        <v>6995</v>
      </c>
      <c r="F1015" s="138">
        <f t="shared" si="288"/>
        <v>6995</v>
      </c>
      <c r="G1015" s="146">
        <v>0</v>
      </c>
      <c r="H1015" s="142">
        <v>0</v>
      </c>
      <c r="I1015" s="146">
        <v>0</v>
      </c>
      <c r="J1015" s="160">
        <v>6995</v>
      </c>
      <c r="K1015" s="146">
        <v>0</v>
      </c>
      <c r="L1015" s="160">
        <v>0</v>
      </c>
      <c r="M1015" s="146">
        <v>0</v>
      </c>
      <c r="N1015" s="160">
        <v>0</v>
      </c>
      <c r="O1015" s="146">
        <v>0</v>
      </c>
      <c r="P1015" s="160">
        <v>0</v>
      </c>
      <c r="Q1015" s="146">
        <v>0</v>
      </c>
      <c r="R1015" s="160">
        <v>0</v>
      </c>
      <c r="S1015" s="140"/>
      <c r="T1015" s="18"/>
      <c r="U1015" s="8"/>
      <c r="V1015" s="18"/>
      <c r="W1015" s="8"/>
      <c r="X1015" s="18"/>
      <c r="Y1015" s="8"/>
      <c r="Z1015" s="18"/>
      <c r="AA1015" s="8"/>
      <c r="AB1015" s="18"/>
      <c r="AC1015" s="8"/>
      <c r="AD1015" s="18"/>
      <c r="AE1015" s="8"/>
      <c r="AF1015" s="18"/>
      <c r="AG1015" s="8"/>
      <c r="AH1015" s="7"/>
    </row>
    <row r="1016" spans="1:34" s="3" customFormat="1" ht="11.25" customHeight="1" x14ac:dyDescent="0.15">
      <c r="A1016" s="87" t="s">
        <v>77</v>
      </c>
      <c r="B1016" s="123">
        <v>22179</v>
      </c>
      <c r="C1016" s="122"/>
      <c r="D1016" s="58"/>
      <c r="E1016" s="58">
        <f t="shared" si="289"/>
        <v>22179</v>
      </c>
      <c r="F1016" s="138">
        <f t="shared" si="288"/>
        <v>22179</v>
      </c>
      <c r="G1016" s="146">
        <v>0</v>
      </c>
      <c r="H1016" s="142">
        <v>0</v>
      </c>
      <c r="I1016" s="146">
        <v>0</v>
      </c>
      <c r="J1016" s="160">
        <v>134</v>
      </c>
      <c r="K1016" s="146">
        <v>490</v>
      </c>
      <c r="L1016" s="160">
        <v>0</v>
      </c>
      <c r="M1016" s="146">
        <v>0</v>
      </c>
      <c r="N1016" s="160">
        <v>0</v>
      </c>
      <c r="O1016" s="146">
        <v>0</v>
      </c>
      <c r="P1016" s="160">
        <v>8972</v>
      </c>
      <c r="Q1016" s="146">
        <v>12583</v>
      </c>
      <c r="R1016" s="160">
        <v>0</v>
      </c>
      <c r="S1016" s="140"/>
      <c r="T1016" s="18"/>
      <c r="U1016" s="8"/>
      <c r="V1016" s="18"/>
      <c r="W1016" s="8"/>
      <c r="X1016" s="18"/>
      <c r="Y1016" s="8"/>
      <c r="Z1016" s="18"/>
      <c r="AA1016" s="8"/>
      <c r="AB1016" s="18"/>
      <c r="AC1016" s="8"/>
      <c r="AD1016" s="18"/>
      <c r="AE1016" s="8"/>
      <c r="AF1016" s="18"/>
      <c r="AG1016" s="8"/>
      <c r="AH1016" s="7"/>
    </row>
    <row r="1017" spans="1:34" s="3" customFormat="1" ht="11.25" customHeight="1" x14ac:dyDescent="0.15">
      <c r="A1017" s="59" t="s">
        <v>66</v>
      </c>
      <c r="B1017" s="120">
        <v>9436.84</v>
      </c>
      <c r="C1017" s="120"/>
      <c r="D1017" s="58"/>
      <c r="E1017" s="58">
        <f t="shared" si="289"/>
        <v>9436.84</v>
      </c>
      <c r="F1017" s="138">
        <f t="shared" si="288"/>
        <v>9436.84</v>
      </c>
      <c r="G1017" s="146">
        <v>0</v>
      </c>
      <c r="H1017" s="142">
        <v>0</v>
      </c>
      <c r="I1017" s="146">
        <v>0</v>
      </c>
      <c r="J1017" s="160">
        <v>406</v>
      </c>
      <c r="K1017" s="146">
        <v>5140.84</v>
      </c>
      <c r="L1017" s="160">
        <v>0</v>
      </c>
      <c r="M1017" s="146">
        <v>0</v>
      </c>
      <c r="N1017" s="160">
        <v>0</v>
      </c>
      <c r="O1017" s="146">
        <v>0</v>
      </c>
      <c r="P1017" s="160">
        <v>0</v>
      </c>
      <c r="Q1017" s="146">
        <v>3890</v>
      </c>
      <c r="R1017" s="160">
        <v>0</v>
      </c>
      <c r="S1017" s="140"/>
      <c r="T1017" s="18"/>
      <c r="U1017" s="8"/>
      <c r="V1017" s="18"/>
      <c r="W1017" s="8"/>
      <c r="X1017" s="18"/>
      <c r="Y1017" s="8"/>
      <c r="Z1017" s="18"/>
      <c r="AA1017" s="8"/>
      <c r="AB1017" s="18"/>
      <c r="AC1017" s="8"/>
      <c r="AD1017" s="18"/>
      <c r="AE1017" s="8"/>
      <c r="AF1017" s="18"/>
      <c r="AG1017" s="8"/>
      <c r="AH1017" s="7"/>
    </row>
    <row r="1018" spans="1:34" s="3" customFormat="1" ht="11.25" customHeight="1" x14ac:dyDescent="0.15">
      <c r="A1018" s="59" t="s">
        <v>67</v>
      </c>
      <c r="B1018" s="120">
        <v>543</v>
      </c>
      <c r="C1018" s="120"/>
      <c r="D1018" s="58"/>
      <c r="E1018" s="58">
        <f t="shared" si="289"/>
        <v>543</v>
      </c>
      <c r="F1018" s="138">
        <f t="shared" si="288"/>
        <v>543</v>
      </c>
      <c r="G1018" s="146">
        <v>0</v>
      </c>
      <c r="H1018" s="142">
        <v>0</v>
      </c>
      <c r="I1018" s="146">
        <v>0</v>
      </c>
      <c r="J1018" s="160">
        <v>0</v>
      </c>
      <c r="K1018" s="146">
        <v>543</v>
      </c>
      <c r="L1018" s="160">
        <v>0</v>
      </c>
      <c r="M1018" s="146">
        <v>0</v>
      </c>
      <c r="N1018" s="160">
        <v>0</v>
      </c>
      <c r="O1018" s="146">
        <v>0</v>
      </c>
      <c r="P1018" s="160">
        <v>0</v>
      </c>
      <c r="Q1018" s="146">
        <v>0</v>
      </c>
      <c r="R1018" s="160">
        <v>0</v>
      </c>
      <c r="S1018" s="140"/>
      <c r="T1018" s="18"/>
      <c r="U1018" s="8"/>
      <c r="V1018" s="18"/>
      <c r="W1018" s="8"/>
      <c r="X1018" s="18"/>
      <c r="Y1018" s="8"/>
      <c r="Z1018" s="18"/>
      <c r="AA1018" s="8"/>
      <c r="AB1018" s="18"/>
      <c r="AC1018" s="8"/>
      <c r="AD1018" s="18"/>
      <c r="AE1018" s="8"/>
      <c r="AF1018" s="18"/>
      <c r="AG1018" s="8"/>
      <c r="AH1018" s="7"/>
    </row>
    <row r="1019" spans="1:34" s="3" customFormat="1" ht="11.25" customHeight="1" x14ac:dyDescent="0.15">
      <c r="A1019" s="59" t="s">
        <v>9</v>
      </c>
      <c r="B1019" s="123">
        <v>46456.800000000003</v>
      </c>
      <c r="C1019" s="120"/>
      <c r="D1019" s="58"/>
      <c r="E1019" s="58">
        <f t="shared" si="289"/>
        <v>46456.800000000003</v>
      </c>
      <c r="F1019" s="138">
        <f t="shared" si="288"/>
        <v>46456.800000000003</v>
      </c>
      <c r="G1019" s="146">
        <v>0</v>
      </c>
      <c r="H1019" s="142">
        <v>0</v>
      </c>
      <c r="I1019" s="146">
        <v>0</v>
      </c>
      <c r="J1019" s="160">
        <v>0</v>
      </c>
      <c r="K1019" s="146">
        <v>46457</v>
      </c>
      <c r="L1019" s="160">
        <v>-0.2</v>
      </c>
      <c r="M1019" s="146">
        <v>0</v>
      </c>
      <c r="N1019" s="160">
        <v>0</v>
      </c>
      <c r="O1019" s="146">
        <v>0</v>
      </c>
      <c r="P1019" s="160">
        <v>0</v>
      </c>
      <c r="Q1019" s="146">
        <v>0</v>
      </c>
      <c r="R1019" s="160">
        <v>0</v>
      </c>
      <c r="S1019" s="140"/>
      <c r="T1019" s="18"/>
      <c r="U1019" s="8"/>
      <c r="V1019" s="18"/>
      <c r="W1019" s="8"/>
      <c r="X1019" s="18"/>
      <c r="Y1019" s="8"/>
      <c r="Z1019" s="18"/>
      <c r="AA1019" s="8"/>
      <c r="AB1019" s="18"/>
      <c r="AC1019" s="8"/>
      <c r="AD1019" s="18"/>
      <c r="AE1019" s="8"/>
      <c r="AF1019" s="18"/>
      <c r="AG1019" s="8"/>
      <c r="AH1019" s="7"/>
    </row>
    <row r="1020" spans="1:34" x14ac:dyDescent="0.25">
      <c r="A1020" s="59" t="s">
        <v>91</v>
      </c>
      <c r="B1020" s="121">
        <v>6683.4900000000007</v>
      </c>
      <c r="C1020" s="121"/>
      <c r="D1020" s="58"/>
      <c r="E1020" s="58">
        <f t="shared" si="289"/>
        <v>6683.4900000000007</v>
      </c>
      <c r="F1020" s="138">
        <f t="shared" si="288"/>
        <v>6683.4900000000007</v>
      </c>
      <c r="G1020" s="138">
        <v>0</v>
      </c>
      <c r="H1020" s="138">
        <v>0</v>
      </c>
      <c r="I1020" s="138">
        <v>0</v>
      </c>
      <c r="J1020" s="138">
        <v>0</v>
      </c>
      <c r="K1020" s="138">
        <f>3000-555.28</f>
        <v>2444.7200000000003</v>
      </c>
      <c r="L1020" s="138">
        <v>0</v>
      </c>
      <c r="M1020" s="138">
        <v>0</v>
      </c>
      <c r="N1020" s="138">
        <v>4238.7700000000004</v>
      </c>
      <c r="O1020" s="138">
        <v>0</v>
      </c>
      <c r="P1020" s="138">
        <v>0</v>
      </c>
      <c r="Q1020" s="138">
        <v>0</v>
      </c>
      <c r="R1020" s="138">
        <v>0</v>
      </c>
      <c r="S1020" s="137"/>
    </row>
    <row r="1021" spans="1:34" x14ac:dyDescent="0.25">
      <c r="A1021" s="59" t="s">
        <v>230</v>
      </c>
      <c r="B1021" s="121">
        <v>673.38</v>
      </c>
      <c r="C1021" s="121"/>
      <c r="D1021" s="58"/>
      <c r="E1021" s="58">
        <f t="shared" ref="E1021" si="290">+B1021+C1021+D1021</f>
        <v>673.38</v>
      </c>
      <c r="F1021" s="138">
        <f t="shared" ref="F1021" si="291">SUM(G1021:R1021)</f>
        <v>673.38</v>
      </c>
      <c r="G1021" s="138">
        <v>0</v>
      </c>
      <c r="H1021" s="138">
        <v>0</v>
      </c>
      <c r="I1021" s="138">
        <v>0</v>
      </c>
      <c r="J1021" s="138">
        <v>0</v>
      </c>
      <c r="K1021" s="138">
        <v>0</v>
      </c>
      <c r="L1021" s="138">
        <v>0</v>
      </c>
      <c r="M1021" s="138">
        <v>0</v>
      </c>
      <c r="N1021" s="138">
        <v>0</v>
      </c>
      <c r="O1021" s="138">
        <v>673.38</v>
      </c>
      <c r="P1021" s="138">
        <v>0</v>
      </c>
      <c r="Q1021" s="138">
        <v>0</v>
      </c>
      <c r="R1021" s="138">
        <v>0</v>
      </c>
      <c r="S1021" s="137"/>
    </row>
    <row r="1022" spans="1:34" x14ac:dyDescent="0.25">
      <c r="A1022" s="59" t="s">
        <v>92</v>
      </c>
      <c r="B1022" s="122">
        <v>347267.52</v>
      </c>
      <c r="C1022" s="122"/>
      <c r="D1022" s="58"/>
      <c r="E1022" s="58">
        <f t="shared" si="289"/>
        <v>347267.52</v>
      </c>
      <c r="F1022" s="138">
        <f t="shared" si="288"/>
        <v>347267.52</v>
      </c>
      <c r="G1022" s="138">
        <v>0</v>
      </c>
      <c r="H1022" s="138">
        <v>0</v>
      </c>
      <c r="I1022" s="138">
        <v>0</v>
      </c>
      <c r="J1022" s="138">
        <v>70102.399999999994</v>
      </c>
      <c r="K1022" s="138">
        <v>44611.68</v>
      </c>
      <c r="L1022" s="138">
        <f>266390-4200-13248.04-16388.52</f>
        <v>232553.44</v>
      </c>
      <c r="M1022" s="138">
        <v>0</v>
      </c>
      <c r="N1022" s="138">
        <v>0</v>
      </c>
      <c r="O1022" s="138">
        <v>0</v>
      </c>
      <c r="P1022" s="138">
        <v>0</v>
      </c>
      <c r="Q1022" s="138">
        <v>0</v>
      </c>
      <c r="R1022" s="138">
        <v>0</v>
      </c>
      <c r="S1022" s="137"/>
    </row>
    <row r="1023" spans="1:34" x14ac:dyDescent="0.25">
      <c r="A1023" s="59" t="s">
        <v>62</v>
      </c>
      <c r="B1023" s="122">
        <v>514198.77</v>
      </c>
      <c r="C1023" s="122"/>
      <c r="D1023" s="58"/>
      <c r="E1023" s="58">
        <f t="shared" si="289"/>
        <v>514198.77</v>
      </c>
      <c r="F1023" s="138">
        <f t="shared" si="288"/>
        <v>514198.77</v>
      </c>
      <c r="G1023" s="138">
        <v>0</v>
      </c>
      <c r="H1023" s="138">
        <v>0</v>
      </c>
      <c r="I1023" s="138">
        <v>0</v>
      </c>
      <c r="J1023" s="138">
        <v>57967.519999999997</v>
      </c>
      <c r="K1023" s="138">
        <v>40196</v>
      </c>
      <c r="L1023" s="138">
        <f>530103.4-31140-21850.84-123917.31</f>
        <v>353195.25</v>
      </c>
      <c r="M1023" s="138">
        <v>0</v>
      </c>
      <c r="N1023" s="138">
        <v>0</v>
      </c>
      <c r="O1023" s="138">
        <v>0</v>
      </c>
      <c r="P1023" s="138">
        <v>33870</v>
      </c>
      <c r="Q1023" s="138">
        <v>28970</v>
      </c>
      <c r="R1023" s="138">
        <v>0</v>
      </c>
      <c r="S1023" s="137"/>
    </row>
    <row r="1024" spans="1:34" x14ac:dyDescent="0.25">
      <c r="A1024" s="59" t="s">
        <v>10</v>
      </c>
      <c r="B1024" s="121">
        <v>163005</v>
      </c>
      <c r="C1024" s="122"/>
      <c r="D1024" s="58"/>
      <c r="E1024" s="58">
        <f t="shared" si="289"/>
        <v>163005</v>
      </c>
      <c r="F1024" s="138">
        <f t="shared" si="288"/>
        <v>163005</v>
      </c>
      <c r="G1024" s="138">
        <v>0</v>
      </c>
      <c r="H1024" s="138">
        <v>0</v>
      </c>
      <c r="I1024" s="138">
        <v>0</v>
      </c>
      <c r="J1024" s="138">
        <v>501</v>
      </c>
      <c r="K1024" s="138">
        <v>20232</v>
      </c>
      <c r="L1024" s="138">
        <v>20880</v>
      </c>
      <c r="M1024" s="138">
        <v>20232</v>
      </c>
      <c r="N1024" s="138">
        <v>20232</v>
      </c>
      <c r="O1024" s="138">
        <v>20232</v>
      </c>
      <c r="P1024" s="138">
        <v>20232</v>
      </c>
      <c r="Q1024" s="138">
        <v>20232</v>
      </c>
      <c r="R1024" s="138">
        <v>20232</v>
      </c>
      <c r="S1024" s="137"/>
    </row>
    <row r="1025" spans="1:19" x14ac:dyDescent="0.25">
      <c r="A1025" s="59" t="s">
        <v>231</v>
      </c>
      <c r="B1025" s="121">
        <v>1851.36</v>
      </c>
      <c r="C1025" s="122"/>
      <c r="D1025" s="58"/>
      <c r="E1025" s="58">
        <f t="shared" si="289"/>
        <v>1851.36</v>
      </c>
      <c r="F1025" s="138">
        <f t="shared" si="288"/>
        <v>1851.36</v>
      </c>
      <c r="G1025" s="138">
        <v>0</v>
      </c>
      <c r="H1025" s="138">
        <v>0</v>
      </c>
      <c r="I1025" s="138">
        <v>0</v>
      </c>
      <c r="J1025" s="138">
        <v>0</v>
      </c>
      <c r="K1025" s="138">
        <v>0</v>
      </c>
      <c r="L1025" s="138">
        <v>1851.36</v>
      </c>
      <c r="M1025" s="138">
        <v>0</v>
      </c>
      <c r="N1025" s="138">
        <v>0</v>
      </c>
      <c r="O1025" s="138">
        <v>0</v>
      </c>
      <c r="P1025" s="138">
        <v>0</v>
      </c>
      <c r="Q1025" s="138">
        <v>0</v>
      </c>
      <c r="R1025" s="138">
        <v>0</v>
      </c>
      <c r="S1025" s="137"/>
    </row>
    <row r="1026" spans="1:19" x14ac:dyDescent="0.25">
      <c r="A1026" s="59" t="s">
        <v>68</v>
      </c>
      <c r="B1026" s="122">
        <v>24563.599999999999</v>
      </c>
      <c r="C1026" s="122"/>
      <c r="D1026" s="58"/>
      <c r="E1026" s="58">
        <f t="shared" si="289"/>
        <v>24563.599999999999</v>
      </c>
      <c r="F1026" s="138">
        <f t="shared" si="288"/>
        <v>24563.599999999999</v>
      </c>
      <c r="G1026" s="138">
        <v>0</v>
      </c>
      <c r="H1026" s="138">
        <v>0</v>
      </c>
      <c r="I1026" s="138">
        <v>81.8</v>
      </c>
      <c r="J1026" s="138">
        <v>24481.8</v>
      </c>
      <c r="K1026" s="138">
        <v>0</v>
      </c>
      <c r="L1026" s="138">
        <v>0</v>
      </c>
      <c r="M1026" s="138">
        <v>0</v>
      </c>
      <c r="N1026" s="138">
        <v>0</v>
      </c>
      <c r="O1026" s="138">
        <v>0</v>
      </c>
      <c r="P1026" s="138">
        <v>0</v>
      </c>
      <c r="Q1026" s="138">
        <v>0</v>
      </c>
      <c r="R1026" s="138">
        <v>0</v>
      </c>
      <c r="S1026" s="137"/>
    </row>
    <row r="1027" spans="1:19" x14ac:dyDescent="0.25">
      <c r="A1027" s="59" t="s">
        <v>93</v>
      </c>
      <c r="B1027" s="58">
        <v>201.88</v>
      </c>
      <c r="C1027" s="96"/>
      <c r="D1027" s="58"/>
      <c r="E1027" s="58">
        <f t="shared" si="289"/>
        <v>201.88</v>
      </c>
      <c r="F1027" s="138">
        <f t="shared" si="288"/>
        <v>201.88</v>
      </c>
      <c r="G1027" s="138">
        <v>0</v>
      </c>
      <c r="H1027" s="138">
        <v>0</v>
      </c>
      <c r="I1027" s="138">
        <v>0</v>
      </c>
      <c r="J1027" s="138">
        <v>0</v>
      </c>
      <c r="K1027" s="138">
        <v>201.88</v>
      </c>
      <c r="L1027" s="138">
        <v>0</v>
      </c>
      <c r="M1027" s="138">
        <v>0</v>
      </c>
      <c r="N1027" s="138">
        <v>0</v>
      </c>
      <c r="O1027" s="138">
        <v>0</v>
      </c>
      <c r="P1027" s="138">
        <v>0</v>
      </c>
      <c r="Q1027" s="138">
        <v>0</v>
      </c>
      <c r="R1027" s="138">
        <v>0</v>
      </c>
      <c r="S1027" s="137"/>
    </row>
    <row r="1028" spans="1:19" x14ac:dyDescent="0.25">
      <c r="A1028" s="59" t="s">
        <v>252</v>
      </c>
      <c r="B1028" s="58">
        <v>1664</v>
      </c>
      <c r="C1028" s="96"/>
      <c r="D1028" s="58"/>
      <c r="E1028" s="58">
        <f t="shared" ref="E1028" si="292">+B1028+C1028+D1028</f>
        <v>1664</v>
      </c>
      <c r="F1028" s="138">
        <f t="shared" ref="F1028" si="293">SUM(G1028:R1028)</f>
        <v>1664</v>
      </c>
      <c r="G1028" s="138">
        <v>0</v>
      </c>
      <c r="H1028" s="138">
        <v>0</v>
      </c>
      <c r="I1028" s="138">
        <v>0</v>
      </c>
      <c r="J1028" s="138">
        <v>0</v>
      </c>
      <c r="K1028" s="138">
        <v>1200</v>
      </c>
      <c r="L1028" s="138">
        <v>464</v>
      </c>
      <c r="M1028" s="138">
        <v>0</v>
      </c>
      <c r="N1028" s="138">
        <v>0</v>
      </c>
      <c r="O1028" s="138">
        <v>0</v>
      </c>
      <c r="P1028" s="138">
        <v>0</v>
      </c>
      <c r="Q1028" s="138">
        <v>0</v>
      </c>
      <c r="R1028" s="138">
        <v>0</v>
      </c>
      <c r="S1028" s="137"/>
    </row>
    <row r="1029" spans="1:19" x14ac:dyDescent="0.25">
      <c r="A1029" s="59" t="s">
        <v>13</v>
      </c>
      <c r="B1029" s="58">
        <v>3900</v>
      </c>
      <c r="C1029" s="96"/>
      <c r="D1029" s="58"/>
      <c r="E1029" s="58">
        <f t="shared" si="289"/>
        <v>3900</v>
      </c>
      <c r="F1029" s="138">
        <f t="shared" si="288"/>
        <v>3900</v>
      </c>
      <c r="G1029" s="138">
        <v>0</v>
      </c>
      <c r="H1029" s="138">
        <v>0</v>
      </c>
      <c r="I1029" s="138">
        <v>0</v>
      </c>
      <c r="J1029" s="138">
        <v>0</v>
      </c>
      <c r="K1029" s="138">
        <f>5000-1100</f>
        <v>3900</v>
      </c>
      <c r="L1029" s="138">
        <v>0</v>
      </c>
      <c r="M1029" s="138">
        <v>0</v>
      </c>
      <c r="N1029" s="138">
        <v>0</v>
      </c>
      <c r="O1029" s="138">
        <v>0</v>
      </c>
      <c r="P1029" s="138">
        <v>0</v>
      </c>
      <c r="Q1029" s="138">
        <v>0</v>
      </c>
      <c r="R1029" s="138">
        <v>0</v>
      </c>
      <c r="S1029" s="137"/>
    </row>
    <row r="1030" spans="1:19" x14ac:dyDescent="0.25">
      <c r="A1030" s="87" t="s">
        <v>70</v>
      </c>
      <c r="B1030" s="52">
        <v>17303.32</v>
      </c>
      <c r="C1030" s="96"/>
      <c r="D1030" s="58"/>
      <c r="E1030" s="58">
        <f t="shared" si="289"/>
        <v>17303.32</v>
      </c>
      <c r="F1030" s="138">
        <f t="shared" si="288"/>
        <v>17303.32</v>
      </c>
      <c r="G1030" s="138">
        <v>0</v>
      </c>
      <c r="H1030" s="138">
        <v>0</v>
      </c>
      <c r="I1030" s="138">
        <v>0</v>
      </c>
      <c r="J1030" s="138">
        <v>0</v>
      </c>
      <c r="K1030" s="138">
        <f>20000-16500</f>
        <v>3500</v>
      </c>
      <c r="L1030" s="138">
        <v>0</v>
      </c>
      <c r="M1030" s="138">
        <v>555.28</v>
      </c>
      <c r="N1030" s="138">
        <v>13248.04</v>
      </c>
      <c r="O1030" s="138">
        <v>0</v>
      </c>
      <c r="P1030" s="138">
        <v>0</v>
      </c>
      <c r="Q1030" s="138">
        <v>0</v>
      </c>
      <c r="R1030" s="138">
        <v>0</v>
      </c>
      <c r="S1030" s="137"/>
    </row>
    <row r="1031" spans="1:19" x14ac:dyDescent="0.25">
      <c r="A1031" s="87" t="s">
        <v>253</v>
      </c>
      <c r="B1031" s="52">
        <v>399</v>
      </c>
      <c r="C1031" s="96"/>
      <c r="D1031" s="58"/>
      <c r="E1031" s="58">
        <f t="shared" ref="E1031" si="294">+B1031+C1031+D1031</f>
        <v>399</v>
      </c>
      <c r="F1031" s="138">
        <f t="shared" ref="F1031" si="295">SUM(G1031:R1031)</f>
        <v>399</v>
      </c>
      <c r="G1031" s="138">
        <v>0</v>
      </c>
      <c r="H1031" s="138">
        <v>0</v>
      </c>
      <c r="I1031" s="138">
        <v>0</v>
      </c>
      <c r="J1031" s="138">
        <v>399</v>
      </c>
      <c r="K1031" s="138">
        <v>0</v>
      </c>
      <c r="L1031" s="138">
        <v>0</v>
      </c>
      <c r="M1031" s="138">
        <v>0</v>
      </c>
      <c r="N1031" s="138">
        <v>0</v>
      </c>
      <c r="O1031" s="138">
        <v>0</v>
      </c>
      <c r="P1031" s="138">
        <v>0</v>
      </c>
      <c r="Q1031" s="138">
        <v>0</v>
      </c>
      <c r="R1031" s="138">
        <v>0</v>
      </c>
      <c r="S1031" s="137"/>
    </row>
    <row r="1032" spans="1:19" x14ac:dyDescent="0.25">
      <c r="F1032" s="138">
        <f>SUM(E1010:E1030)</f>
        <v>2150656.7099999995</v>
      </c>
      <c r="G1032" s="138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7"/>
    </row>
    <row r="1033" spans="1:19" ht="18.75" x14ac:dyDescent="0.4">
      <c r="A1033" s="32" t="s">
        <v>111</v>
      </c>
      <c r="B1033" s="40"/>
      <c r="C1033" s="40"/>
      <c r="D1033" s="40"/>
      <c r="E1033" s="51"/>
      <c r="F1033" s="138"/>
      <c r="G1033" s="138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7"/>
    </row>
    <row r="1034" spans="1:19" x14ac:dyDescent="0.25">
      <c r="A1034" s="59"/>
      <c r="B1034" s="58"/>
      <c r="C1034" s="58"/>
      <c r="D1034" s="58"/>
      <c r="E1034" s="58">
        <f t="shared" ref="E1034:E1035" si="296">+B1034+C1034+D1034</f>
        <v>0</v>
      </c>
      <c r="F1034" s="138"/>
      <c r="G1034" s="138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7"/>
    </row>
    <row r="1035" spans="1:19" x14ac:dyDescent="0.25">
      <c r="A1035" s="59"/>
      <c r="B1035" s="58"/>
      <c r="C1035" s="58"/>
      <c r="D1035" s="58"/>
      <c r="E1035" s="58">
        <f t="shared" si="296"/>
        <v>0</v>
      </c>
      <c r="F1035" s="138"/>
      <c r="G1035" s="138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7"/>
    </row>
    <row r="1036" spans="1:19" ht="18.75" x14ac:dyDescent="0.4">
      <c r="A1036" s="32" t="s">
        <v>112</v>
      </c>
      <c r="B1036" s="40"/>
      <c r="C1036" s="40"/>
      <c r="D1036" s="40"/>
      <c r="E1036" s="51"/>
      <c r="F1036" s="138"/>
      <c r="G1036" s="138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7"/>
    </row>
    <row r="1037" spans="1:19" x14ac:dyDescent="0.25">
      <c r="A1037" s="60" t="s">
        <v>157</v>
      </c>
      <c r="B1037" s="58">
        <v>0</v>
      </c>
      <c r="C1037" s="58"/>
      <c r="D1037" s="58"/>
      <c r="E1037" s="58">
        <f t="shared" ref="E1037:E1038" si="297">+B1037+C1037+D1037</f>
        <v>0</v>
      </c>
      <c r="F1037" s="138"/>
      <c r="G1037" s="138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7"/>
    </row>
    <row r="1038" spans="1:19" x14ac:dyDescent="0.25">
      <c r="A1038" s="60" t="s">
        <v>75</v>
      </c>
      <c r="B1038" s="61">
        <v>0</v>
      </c>
      <c r="C1038" s="58"/>
      <c r="D1038" s="58"/>
      <c r="E1038" s="58">
        <f t="shared" si="297"/>
        <v>0</v>
      </c>
      <c r="F1038" s="138"/>
      <c r="G1038" s="138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7"/>
    </row>
    <row r="1039" spans="1:19" ht="18.75" x14ac:dyDescent="0.4">
      <c r="A1039" s="34" t="s">
        <v>113</v>
      </c>
      <c r="B1039" s="40"/>
      <c r="C1039" s="40"/>
      <c r="D1039" s="40"/>
      <c r="E1039" s="51"/>
      <c r="F1039" s="138"/>
      <c r="G1039" s="138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7"/>
    </row>
    <row r="1040" spans="1:19" x14ac:dyDescent="0.25">
      <c r="A1040" s="92" t="s">
        <v>137</v>
      </c>
      <c r="B1040" s="58">
        <v>0</v>
      </c>
      <c r="C1040" s="58">
        <v>0</v>
      </c>
      <c r="D1040" s="58"/>
      <c r="E1040" s="58">
        <f t="shared" ref="E1040" si="298">+B1040+C1040+D1040</f>
        <v>0</v>
      </c>
      <c r="F1040" s="138">
        <f>+E1040</f>
        <v>0</v>
      </c>
      <c r="G1040" s="138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7"/>
    </row>
    <row r="1041" spans="1:34" x14ac:dyDescent="0.25">
      <c r="F1041" s="138"/>
      <c r="G1041" s="138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7"/>
    </row>
    <row r="1042" spans="1:34" x14ac:dyDescent="0.25">
      <c r="F1042" s="138"/>
      <c r="G1042" s="138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7"/>
    </row>
    <row r="1043" spans="1:34" x14ac:dyDescent="0.25">
      <c r="F1043" s="138"/>
      <c r="G1043" s="138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7"/>
    </row>
    <row r="1044" spans="1:34" ht="18.75" x14ac:dyDescent="0.4">
      <c r="A1044" s="168" t="s">
        <v>94</v>
      </c>
      <c r="B1044" s="168"/>
      <c r="C1044" s="168"/>
      <c r="D1044" s="168"/>
      <c r="E1044" s="168"/>
      <c r="F1044" s="158"/>
      <c r="G1044" s="158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7"/>
    </row>
    <row r="1045" spans="1:34" x14ac:dyDescent="0.25">
      <c r="F1045" s="138"/>
      <c r="G1045" s="138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7"/>
    </row>
    <row r="1046" spans="1:34" ht="30" x14ac:dyDescent="0.25">
      <c r="A1046" s="33" t="s">
        <v>105</v>
      </c>
      <c r="B1046" s="38" t="s">
        <v>106</v>
      </c>
      <c r="C1046" s="38" t="s">
        <v>107</v>
      </c>
      <c r="D1046" s="38" t="s">
        <v>108</v>
      </c>
      <c r="E1046" s="38" t="s">
        <v>109</v>
      </c>
      <c r="F1046" s="138"/>
      <c r="G1046" s="38" t="s">
        <v>192</v>
      </c>
      <c r="H1046" s="38" t="s">
        <v>193</v>
      </c>
      <c r="I1046" s="38" t="s">
        <v>194</v>
      </c>
      <c r="J1046" s="38" t="s">
        <v>195</v>
      </c>
      <c r="K1046" s="38" t="s">
        <v>196</v>
      </c>
      <c r="L1046" s="38" t="s">
        <v>197</v>
      </c>
      <c r="M1046" s="38" t="s">
        <v>198</v>
      </c>
      <c r="N1046" s="38" t="s">
        <v>199</v>
      </c>
      <c r="O1046" s="38" t="s">
        <v>200</v>
      </c>
      <c r="P1046" s="38" t="s">
        <v>201</v>
      </c>
      <c r="Q1046" s="38" t="s">
        <v>202</v>
      </c>
      <c r="R1046" s="38" t="s">
        <v>203</v>
      </c>
      <c r="S1046" s="137"/>
    </row>
    <row r="1047" spans="1:34" ht="18.75" x14ac:dyDescent="0.4">
      <c r="A1047" s="32" t="s">
        <v>110</v>
      </c>
      <c r="B1047" s="37">
        <f>SUM(B1048:B1095)</f>
        <v>388688.72</v>
      </c>
      <c r="C1047" s="37">
        <f t="shared" ref="C1047:E1047" si="299">SUM(C1048:C1095)</f>
        <v>197754.59</v>
      </c>
      <c r="D1047" s="134">
        <f t="shared" si="299"/>
        <v>628140</v>
      </c>
      <c r="E1047" s="37">
        <f t="shared" si="299"/>
        <v>1214583.31</v>
      </c>
      <c r="F1047" s="138"/>
      <c r="G1047" s="138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7"/>
    </row>
    <row r="1048" spans="1:34" s="3" customFormat="1" ht="11.25" customHeight="1" x14ac:dyDescent="0.15">
      <c r="A1048" s="59" t="s">
        <v>1</v>
      </c>
      <c r="B1048" s="61">
        <v>33127.79</v>
      </c>
      <c r="C1048" s="98">
        <v>0</v>
      </c>
      <c r="D1048" s="58"/>
      <c r="E1048" s="58">
        <f>+B1048+C1048+D1048</f>
        <v>33127.79</v>
      </c>
      <c r="F1048" s="138">
        <f t="shared" ref="F1048:F1079" si="300">SUM(G1048:R1048)</f>
        <v>33127.79</v>
      </c>
      <c r="G1048" s="138">
        <v>0</v>
      </c>
      <c r="H1048" s="138">
        <v>0</v>
      </c>
      <c r="I1048" s="138">
        <v>0</v>
      </c>
      <c r="J1048" s="152">
        <v>0</v>
      </c>
      <c r="K1048" s="138">
        <f>5762-1193.73</f>
        <v>4568.2700000000004</v>
      </c>
      <c r="L1048" s="152">
        <v>0</v>
      </c>
      <c r="M1048" s="138">
        <v>0</v>
      </c>
      <c r="N1048" s="152">
        <v>11584.52</v>
      </c>
      <c r="O1048" s="138">
        <v>16975</v>
      </c>
      <c r="P1048" s="152">
        <v>0</v>
      </c>
      <c r="Q1048" s="138">
        <v>0</v>
      </c>
      <c r="R1048" s="152">
        <v>0</v>
      </c>
      <c r="S1048" s="139"/>
      <c r="T1048" s="16"/>
      <c r="U1048" s="4"/>
      <c r="V1048" s="16"/>
      <c r="W1048" s="4"/>
      <c r="X1048" s="16"/>
      <c r="Y1048" s="4"/>
      <c r="Z1048" s="16"/>
      <c r="AA1048" s="4"/>
      <c r="AB1048" s="16"/>
      <c r="AC1048" s="4"/>
      <c r="AD1048" s="16"/>
      <c r="AE1048" s="4"/>
      <c r="AF1048" s="16"/>
      <c r="AG1048" s="4"/>
    </row>
    <row r="1049" spans="1:34" s="3" customFormat="1" ht="11.25" customHeight="1" x14ac:dyDescent="0.15">
      <c r="A1049" s="59" t="s">
        <v>2</v>
      </c>
      <c r="B1049" s="61">
        <v>22297.599999999999</v>
      </c>
      <c r="C1049" s="97">
        <v>0</v>
      </c>
      <c r="D1049" s="58"/>
      <c r="E1049" s="58">
        <f t="shared" ref="E1049:E1079" si="301">+B1049+C1049+D1049</f>
        <v>22297.599999999999</v>
      </c>
      <c r="F1049" s="138">
        <f t="shared" si="300"/>
        <v>22297.599999999999</v>
      </c>
      <c r="G1049" s="146">
        <v>0</v>
      </c>
      <c r="H1049" s="142">
        <v>0</v>
      </c>
      <c r="I1049" s="146">
        <v>0</v>
      </c>
      <c r="J1049" s="160">
        <v>0</v>
      </c>
      <c r="K1049" s="146">
        <v>0</v>
      </c>
      <c r="L1049" s="160">
        <v>1142.5999999999999</v>
      </c>
      <c r="M1049" s="146">
        <v>5316</v>
      </c>
      <c r="N1049" s="160">
        <f>4640+1914</f>
        <v>6554</v>
      </c>
      <c r="O1049" s="146">
        <v>9285</v>
      </c>
      <c r="P1049" s="160">
        <v>0</v>
      </c>
      <c r="Q1049" s="146">
        <v>0</v>
      </c>
      <c r="R1049" s="160">
        <v>0</v>
      </c>
      <c r="S1049" s="140"/>
      <c r="T1049" s="18"/>
      <c r="U1049" s="8"/>
      <c r="V1049" s="18"/>
      <c r="W1049" s="8"/>
      <c r="X1049" s="18"/>
      <c r="Y1049" s="8"/>
      <c r="Z1049" s="18"/>
      <c r="AA1049" s="8"/>
      <c r="AB1049" s="18"/>
      <c r="AC1049" s="8"/>
      <c r="AD1049" s="18"/>
      <c r="AE1049" s="8"/>
      <c r="AF1049" s="18"/>
      <c r="AG1049" s="8"/>
      <c r="AH1049" s="7"/>
    </row>
    <row r="1050" spans="1:34" s="3" customFormat="1" ht="11.25" customHeight="1" x14ac:dyDescent="0.15">
      <c r="A1050" s="59" t="s">
        <v>3</v>
      </c>
      <c r="B1050" s="97">
        <v>0</v>
      </c>
      <c r="C1050" s="98">
        <v>19020.62</v>
      </c>
      <c r="D1050" s="58"/>
      <c r="E1050" s="58">
        <f t="shared" si="301"/>
        <v>19020.62</v>
      </c>
      <c r="F1050" s="138">
        <f t="shared" si="300"/>
        <v>19161.91</v>
      </c>
      <c r="G1050" s="146">
        <v>0</v>
      </c>
      <c r="H1050" s="142">
        <v>0</v>
      </c>
      <c r="I1050" s="146">
        <v>0</v>
      </c>
      <c r="J1050" s="160">
        <v>0</v>
      </c>
      <c r="K1050" s="146">
        <v>250</v>
      </c>
      <c r="L1050" s="160">
        <v>8000</v>
      </c>
      <c r="M1050" s="146">
        <v>7863.73</v>
      </c>
      <c r="N1050" s="160">
        <v>3429.12</v>
      </c>
      <c r="O1050" s="146">
        <v>-380.94</v>
      </c>
      <c r="P1050" s="160">
        <v>0</v>
      </c>
      <c r="Q1050" s="146">
        <v>0</v>
      </c>
      <c r="R1050" s="160">
        <v>0</v>
      </c>
      <c r="S1050" s="140"/>
      <c r="T1050" s="18"/>
      <c r="U1050" s="8"/>
      <c r="V1050" s="18"/>
      <c r="W1050" s="8"/>
      <c r="X1050" s="18"/>
      <c r="Y1050" s="8"/>
      <c r="Z1050" s="18"/>
      <c r="AA1050" s="8"/>
      <c r="AB1050" s="18"/>
      <c r="AC1050" s="8"/>
      <c r="AD1050" s="18"/>
      <c r="AE1050" s="8"/>
      <c r="AF1050" s="18"/>
      <c r="AG1050" s="8"/>
      <c r="AH1050" s="7"/>
    </row>
    <row r="1051" spans="1:34" s="3" customFormat="1" ht="11.25" customHeight="1" x14ac:dyDescent="0.15">
      <c r="A1051" s="59" t="s">
        <v>39</v>
      </c>
      <c r="B1051" s="96">
        <v>157.5</v>
      </c>
      <c r="C1051" s="98"/>
      <c r="D1051" s="58"/>
      <c r="E1051" s="58">
        <f t="shared" si="301"/>
        <v>157.5</v>
      </c>
      <c r="F1051" s="138">
        <f t="shared" si="300"/>
        <v>157.5</v>
      </c>
      <c r="G1051" s="146">
        <v>0</v>
      </c>
      <c r="H1051" s="142">
        <v>0</v>
      </c>
      <c r="I1051" s="146">
        <v>0</v>
      </c>
      <c r="J1051" s="160">
        <v>0</v>
      </c>
      <c r="K1051" s="146">
        <v>157.5</v>
      </c>
      <c r="L1051" s="160">
        <v>0</v>
      </c>
      <c r="M1051" s="146">
        <v>0</v>
      </c>
      <c r="N1051" s="160">
        <v>0</v>
      </c>
      <c r="O1051" s="146">
        <v>0</v>
      </c>
      <c r="P1051" s="160">
        <v>0</v>
      </c>
      <c r="Q1051" s="146">
        <v>0</v>
      </c>
      <c r="R1051" s="160">
        <v>0</v>
      </c>
      <c r="S1051" s="140"/>
      <c r="T1051" s="18"/>
      <c r="U1051" s="8"/>
      <c r="V1051" s="18"/>
      <c r="W1051" s="8"/>
      <c r="X1051" s="18"/>
      <c r="Y1051" s="8"/>
      <c r="Z1051" s="18"/>
      <c r="AA1051" s="8"/>
      <c r="AB1051" s="18"/>
      <c r="AC1051" s="8"/>
      <c r="AD1051" s="18"/>
      <c r="AE1051" s="8"/>
      <c r="AF1051" s="18"/>
      <c r="AG1051" s="8"/>
      <c r="AH1051" s="7"/>
    </row>
    <row r="1052" spans="1:34" x14ac:dyDescent="0.25">
      <c r="A1052" s="59" t="s">
        <v>6</v>
      </c>
      <c r="B1052" s="58">
        <v>11467.5</v>
      </c>
      <c r="C1052" s="96">
        <v>0</v>
      </c>
      <c r="D1052" s="58"/>
      <c r="E1052" s="58">
        <f t="shared" si="301"/>
        <v>11467.5</v>
      </c>
      <c r="F1052" s="138">
        <f t="shared" si="300"/>
        <v>11467.5</v>
      </c>
      <c r="G1052" s="138">
        <v>0</v>
      </c>
      <c r="H1052" s="138">
        <v>0</v>
      </c>
      <c r="I1052" s="138">
        <v>0</v>
      </c>
      <c r="J1052" s="138">
        <v>3950</v>
      </c>
      <c r="K1052" s="138">
        <v>0</v>
      </c>
      <c r="L1052" s="138">
        <v>2392.5</v>
      </c>
      <c r="M1052" s="138">
        <v>864</v>
      </c>
      <c r="N1052" s="138">
        <v>3571</v>
      </c>
      <c r="O1052" s="138">
        <v>690</v>
      </c>
      <c r="P1052" s="138">
        <v>0</v>
      </c>
      <c r="Q1052" s="138">
        <v>0</v>
      </c>
      <c r="R1052" s="138">
        <v>0</v>
      </c>
      <c r="S1052" s="137"/>
    </row>
    <row r="1053" spans="1:34" x14ac:dyDescent="0.25">
      <c r="A1053" s="59" t="s">
        <v>95</v>
      </c>
      <c r="B1053" s="58">
        <v>0</v>
      </c>
      <c r="C1053" s="96"/>
      <c r="D1053" s="58"/>
      <c r="E1053" s="58">
        <f t="shared" si="301"/>
        <v>0</v>
      </c>
      <c r="F1053" s="138">
        <f t="shared" si="300"/>
        <v>0</v>
      </c>
      <c r="G1053" s="138">
        <v>0</v>
      </c>
      <c r="H1053" s="138">
        <v>0</v>
      </c>
      <c r="I1053" s="138">
        <v>0</v>
      </c>
      <c r="J1053" s="138">
        <v>0</v>
      </c>
      <c r="K1053" s="138">
        <v>0</v>
      </c>
      <c r="L1053" s="138">
        <v>0</v>
      </c>
      <c r="M1053" s="138">
        <v>0</v>
      </c>
      <c r="N1053" s="138">
        <v>0</v>
      </c>
      <c r="O1053" s="138">
        <v>0</v>
      </c>
      <c r="P1053" s="138">
        <v>0</v>
      </c>
      <c r="Q1053" s="138">
        <v>0</v>
      </c>
      <c r="R1053" s="138">
        <v>0</v>
      </c>
      <c r="S1053" s="137" t="s">
        <v>75</v>
      </c>
    </row>
    <row r="1054" spans="1:34" x14ac:dyDescent="0.25">
      <c r="A1054" s="59" t="s">
        <v>96</v>
      </c>
      <c r="B1054" s="58">
        <v>0</v>
      </c>
      <c r="C1054" s="96"/>
      <c r="D1054" s="58"/>
      <c r="E1054" s="58">
        <f t="shared" si="301"/>
        <v>0</v>
      </c>
      <c r="F1054" s="138">
        <f t="shared" si="300"/>
        <v>0</v>
      </c>
      <c r="G1054" s="138">
        <v>0</v>
      </c>
      <c r="H1054" s="138">
        <v>0</v>
      </c>
      <c r="I1054" s="138">
        <v>0</v>
      </c>
      <c r="J1054" s="138">
        <v>0</v>
      </c>
      <c r="K1054" s="138">
        <v>0</v>
      </c>
      <c r="L1054" s="138">
        <v>0</v>
      </c>
      <c r="M1054" s="138">
        <v>0</v>
      </c>
      <c r="N1054" s="138">
        <v>0</v>
      </c>
      <c r="O1054" s="138">
        <v>0</v>
      </c>
      <c r="P1054" s="138">
        <v>0</v>
      </c>
      <c r="Q1054" s="138">
        <v>0</v>
      </c>
      <c r="R1054" s="138">
        <v>0</v>
      </c>
      <c r="S1054" s="137" t="s">
        <v>75</v>
      </c>
    </row>
    <row r="1055" spans="1:34" x14ac:dyDescent="0.25">
      <c r="A1055" s="59" t="s">
        <v>23</v>
      </c>
      <c r="B1055" s="58">
        <v>0</v>
      </c>
      <c r="C1055" s="96"/>
      <c r="D1055" s="58"/>
      <c r="E1055" s="58">
        <f t="shared" si="301"/>
        <v>0</v>
      </c>
      <c r="F1055" s="138">
        <f t="shared" si="300"/>
        <v>0</v>
      </c>
      <c r="G1055" s="138">
        <v>0</v>
      </c>
      <c r="H1055" s="138">
        <v>0</v>
      </c>
      <c r="I1055" s="138">
        <v>0</v>
      </c>
      <c r="J1055" s="138">
        <v>0</v>
      </c>
      <c r="K1055" s="138">
        <v>0</v>
      </c>
      <c r="L1055" s="138">
        <v>0</v>
      </c>
      <c r="M1055" s="138">
        <v>0</v>
      </c>
      <c r="N1055" s="138">
        <v>0</v>
      </c>
      <c r="O1055" s="138">
        <v>0</v>
      </c>
      <c r="P1055" s="138">
        <v>0</v>
      </c>
      <c r="Q1055" s="138">
        <v>0</v>
      </c>
      <c r="R1055" s="138">
        <v>0</v>
      </c>
      <c r="S1055" s="137" t="s">
        <v>75</v>
      </c>
    </row>
    <row r="1056" spans="1:34" x14ac:dyDescent="0.25">
      <c r="A1056" s="59" t="s">
        <v>7</v>
      </c>
      <c r="B1056" s="58">
        <v>5789.6</v>
      </c>
      <c r="C1056" s="96"/>
      <c r="D1056" s="58"/>
      <c r="E1056" s="58">
        <f t="shared" si="301"/>
        <v>5789.6</v>
      </c>
      <c r="F1056" s="138">
        <f t="shared" si="300"/>
        <v>5789.6</v>
      </c>
      <c r="G1056" s="138">
        <v>0</v>
      </c>
      <c r="H1056" s="138">
        <v>0</v>
      </c>
      <c r="I1056" s="138">
        <v>0</v>
      </c>
      <c r="J1056" s="138">
        <v>0</v>
      </c>
      <c r="K1056" s="138">
        <v>326</v>
      </c>
      <c r="L1056" s="138">
        <v>0</v>
      </c>
      <c r="M1056" s="138">
        <v>0</v>
      </c>
      <c r="N1056" s="138">
        <v>0</v>
      </c>
      <c r="O1056" s="138">
        <v>5463.6</v>
      </c>
      <c r="P1056" s="138">
        <v>0</v>
      </c>
      <c r="Q1056" s="138">
        <v>0</v>
      </c>
      <c r="R1056" s="138">
        <v>0</v>
      </c>
      <c r="S1056" s="137" t="s">
        <v>129</v>
      </c>
    </row>
    <row r="1057" spans="1:19" x14ac:dyDescent="0.25">
      <c r="A1057" s="59" t="s">
        <v>66</v>
      </c>
      <c r="B1057" s="52">
        <v>0</v>
      </c>
      <c r="C1057" s="96">
        <v>19473.8</v>
      </c>
      <c r="D1057" s="58"/>
      <c r="E1057" s="58">
        <f t="shared" si="301"/>
        <v>19473.8</v>
      </c>
      <c r="F1057" s="138">
        <f t="shared" si="300"/>
        <v>24548.16</v>
      </c>
      <c r="G1057" s="138">
        <v>0</v>
      </c>
      <c r="H1057" s="138">
        <v>0</v>
      </c>
      <c r="I1057" s="138">
        <v>0</v>
      </c>
      <c r="J1057" s="138">
        <v>57</v>
      </c>
      <c r="K1057" s="138">
        <f>5000-4850</f>
        <v>150</v>
      </c>
      <c r="L1057" s="138">
        <v>35.03</v>
      </c>
      <c r="M1057" s="138">
        <v>0</v>
      </c>
      <c r="N1057" s="138">
        <v>668.21</v>
      </c>
      <c r="O1057" s="138">
        <f>10793.99+12843.93</f>
        <v>23637.919999999998</v>
      </c>
      <c r="P1057" s="138">
        <v>0</v>
      </c>
      <c r="Q1057" s="138">
        <v>0</v>
      </c>
      <c r="R1057" s="138">
        <v>0</v>
      </c>
      <c r="S1057" s="137"/>
    </row>
    <row r="1058" spans="1:19" x14ac:dyDescent="0.25">
      <c r="A1058" s="59" t="s">
        <v>67</v>
      </c>
      <c r="B1058" s="52">
        <v>1301.5</v>
      </c>
      <c r="C1058" s="96"/>
      <c r="D1058" s="58"/>
      <c r="E1058" s="58">
        <f t="shared" si="301"/>
        <v>1301.5</v>
      </c>
      <c r="F1058" s="138">
        <f t="shared" si="300"/>
        <v>1301.5</v>
      </c>
      <c r="G1058" s="138">
        <v>0</v>
      </c>
      <c r="H1058" s="138">
        <v>0</v>
      </c>
      <c r="I1058" s="138">
        <v>0</v>
      </c>
      <c r="J1058" s="138">
        <v>0</v>
      </c>
      <c r="K1058" s="138">
        <v>764</v>
      </c>
      <c r="L1058" s="138"/>
      <c r="M1058" s="138"/>
      <c r="N1058" s="138">
        <v>537.5</v>
      </c>
      <c r="O1058" s="138"/>
      <c r="P1058" s="138"/>
      <c r="Q1058" s="138"/>
      <c r="R1058" s="138"/>
      <c r="S1058" s="137"/>
    </row>
    <row r="1059" spans="1:19" x14ac:dyDescent="0.25">
      <c r="A1059" s="59" t="s">
        <v>97</v>
      </c>
      <c r="B1059" s="58">
        <v>7815.83</v>
      </c>
      <c r="C1059" s="96"/>
      <c r="D1059" s="58"/>
      <c r="E1059" s="58">
        <f t="shared" si="301"/>
        <v>7815.83</v>
      </c>
      <c r="F1059" s="138">
        <f t="shared" si="300"/>
        <v>7815.83</v>
      </c>
      <c r="G1059" s="138">
        <v>0</v>
      </c>
      <c r="H1059" s="138">
        <v>0</v>
      </c>
      <c r="I1059" s="138">
        <v>0</v>
      </c>
      <c r="J1059" s="138">
        <v>0</v>
      </c>
      <c r="K1059" s="138">
        <v>3300</v>
      </c>
      <c r="L1059" s="138">
        <v>0</v>
      </c>
      <c r="M1059" s="138">
        <v>262.82</v>
      </c>
      <c r="N1059" s="138">
        <v>4253.01</v>
      </c>
      <c r="O1059" s="138">
        <v>0</v>
      </c>
      <c r="P1059" s="138">
        <v>0</v>
      </c>
      <c r="Q1059" s="138">
        <v>0</v>
      </c>
      <c r="R1059" s="138">
        <v>0</v>
      </c>
      <c r="S1059" s="137"/>
    </row>
    <row r="1060" spans="1:19" x14ac:dyDescent="0.25">
      <c r="A1060" s="59" t="s">
        <v>204</v>
      </c>
      <c r="B1060" s="58">
        <f>+F1060-C1060</f>
        <v>13497.160000000003</v>
      </c>
      <c r="C1060" s="96">
        <v>22949.85</v>
      </c>
      <c r="D1060" s="58"/>
      <c r="E1060" s="58">
        <f t="shared" ref="E1060:E1078" si="302">+B1060+C1060+D1060</f>
        <v>36447.01</v>
      </c>
      <c r="F1060" s="138">
        <f t="shared" ref="F1060:F1078" si="303">SUM(G1060:R1060)</f>
        <v>36447.01</v>
      </c>
      <c r="G1060" s="138">
        <v>0</v>
      </c>
      <c r="H1060" s="138">
        <v>0</v>
      </c>
      <c r="I1060" s="138">
        <v>0</v>
      </c>
      <c r="J1060" s="138">
        <v>126.97</v>
      </c>
      <c r="K1060" s="138">
        <v>650</v>
      </c>
      <c r="L1060" s="138">
        <v>0</v>
      </c>
      <c r="M1060" s="138">
        <v>22822.880000000001</v>
      </c>
      <c r="N1060" s="138">
        <v>1561.13</v>
      </c>
      <c r="O1060" s="138">
        <v>11286.03</v>
      </c>
      <c r="P1060" s="138">
        <v>0</v>
      </c>
      <c r="Q1060" s="138">
        <v>0</v>
      </c>
      <c r="R1060" s="138">
        <v>0</v>
      </c>
      <c r="S1060" s="137"/>
    </row>
    <row r="1061" spans="1:19" x14ac:dyDescent="0.25">
      <c r="A1061" s="59" t="s">
        <v>91</v>
      </c>
      <c r="B1061" s="58">
        <v>10544.93</v>
      </c>
      <c r="C1061" s="96"/>
      <c r="D1061" s="58"/>
      <c r="E1061" s="58">
        <f t="shared" si="302"/>
        <v>10544.93</v>
      </c>
      <c r="F1061" s="138">
        <f t="shared" si="303"/>
        <v>10544.93</v>
      </c>
      <c r="G1061" s="138">
        <v>0</v>
      </c>
      <c r="H1061" s="138">
        <v>0</v>
      </c>
      <c r="I1061" s="138">
        <v>0</v>
      </c>
      <c r="J1061" s="138">
        <v>0</v>
      </c>
      <c r="K1061" s="138">
        <v>0</v>
      </c>
      <c r="L1061" s="138">
        <v>0</v>
      </c>
      <c r="M1061" s="138">
        <v>0</v>
      </c>
      <c r="N1061" s="138">
        <v>0</v>
      </c>
      <c r="O1061" s="138">
        <v>10544.93</v>
      </c>
      <c r="P1061" s="138">
        <v>0</v>
      </c>
      <c r="Q1061" s="138">
        <v>0</v>
      </c>
      <c r="R1061" s="138">
        <v>0</v>
      </c>
      <c r="S1061" s="137"/>
    </row>
    <row r="1062" spans="1:19" x14ac:dyDescent="0.25">
      <c r="A1062" s="59" t="s">
        <v>230</v>
      </c>
      <c r="B1062" s="58">
        <v>554.94000000000005</v>
      </c>
      <c r="C1062" s="96"/>
      <c r="D1062" s="58"/>
      <c r="E1062" s="58">
        <f t="shared" si="302"/>
        <v>554.94000000000005</v>
      </c>
      <c r="F1062" s="138">
        <f t="shared" si="303"/>
        <v>554.94000000000005</v>
      </c>
      <c r="G1062" s="138">
        <v>0</v>
      </c>
      <c r="H1062" s="138">
        <v>0</v>
      </c>
      <c r="I1062" s="138">
        <v>0</v>
      </c>
      <c r="J1062" s="138">
        <v>0</v>
      </c>
      <c r="K1062" s="138">
        <v>0</v>
      </c>
      <c r="L1062" s="138">
        <v>0</v>
      </c>
      <c r="M1062" s="138">
        <v>0</v>
      </c>
      <c r="N1062" s="138">
        <v>0</v>
      </c>
      <c r="O1062" s="138">
        <v>554.94000000000005</v>
      </c>
      <c r="P1062" s="138">
        <v>0</v>
      </c>
      <c r="Q1062" s="138">
        <v>0</v>
      </c>
      <c r="R1062" s="138">
        <v>0</v>
      </c>
      <c r="S1062" s="137"/>
    </row>
    <row r="1063" spans="1:19" x14ac:dyDescent="0.25">
      <c r="A1063" s="59" t="s">
        <v>98</v>
      </c>
      <c r="B1063" s="58">
        <v>4232.62</v>
      </c>
      <c r="C1063" s="96">
        <v>0</v>
      </c>
      <c r="D1063" s="58"/>
      <c r="E1063" s="58">
        <f t="shared" si="302"/>
        <v>4232.62</v>
      </c>
      <c r="F1063" s="138">
        <f t="shared" si="303"/>
        <v>4232.62</v>
      </c>
      <c r="G1063" s="138">
        <v>0</v>
      </c>
      <c r="H1063" s="138">
        <v>0</v>
      </c>
      <c r="I1063" s="138">
        <v>0</v>
      </c>
      <c r="J1063" s="138">
        <v>0</v>
      </c>
      <c r="K1063" s="138">
        <v>4232.62</v>
      </c>
      <c r="L1063" s="138">
        <v>0</v>
      </c>
      <c r="M1063" s="138">
        <v>0</v>
      </c>
      <c r="N1063" s="138">
        <v>0</v>
      </c>
      <c r="O1063" s="138">
        <v>0</v>
      </c>
      <c r="P1063" s="138">
        <v>0</v>
      </c>
      <c r="Q1063" s="138">
        <v>0</v>
      </c>
      <c r="R1063" s="138">
        <v>0</v>
      </c>
      <c r="S1063" s="137"/>
    </row>
    <row r="1064" spans="1:19" x14ac:dyDescent="0.25">
      <c r="A1064" s="59" t="s">
        <v>99</v>
      </c>
      <c r="B1064" s="93">
        <v>71958.8</v>
      </c>
      <c r="C1064" s="96">
        <v>0</v>
      </c>
      <c r="D1064" s="58"/>
      <c r="E1064" s="58">
        <f t="shared" si="302"/>
        <v>71958.8</v>
      </c>
      <c r="F1064" s="138">
        <f t="shared" si="303"/>
        <v>71958.8</v>
      </c>
      <c r="G1064" s="138">
        <v>0</v>
      </c>
      <c r="H1064" s="138">
        <v>0</v>
      </c>
      <c r="I1064" s="138">
        <v>0</v>
      </c>
      <c r="J1064" s="138">
        <v>0</v>
      </c>
      <c r="K1064" s="138">
        <v>20</v>
      </c>
      <c r="L1064" s="138">
        <v>56050</v>
      </c>
      <c r="M1064" s="138">
        <v>1687.36</v>
      </c>
      <c r="N1064" s="138">
        <v>12965.44</v>
      </c>
      <c r="O1064" s="138">
        <v>1236</v>
      </c>
      <c r="P1064" s="138">
        <v>0</v>
      </c>
      <c r="Q1064" s="138">
        <v>0</v>
      </c>
      <c r="R1064" s="138">
        <v>0</v>
      </c>
      <c r="S1064" s="137"/>
    </row>
    <row r="1065" spans="1:19" x14ac:dyDescent="0.25">
      <c r="A1065" s="59" t="s">
        <v>9</v>
      </c>
      <c r="B1065" s="58">
        <v>0</v>
      </c>
      <c r="C1065" s="96"/>
      <c r="D1065" s="58"/>
      <c r="E1065" s="58">
        <f t="shared" si="302"/>
        <v>0</v>
      </c>
      <c r="F1065" s="138">
        <f t="shared" si="303"/>
        <v>0</v>
      </c>
      <c r="G1065" s="138">
        <v>0</v>
      </c>
      <c r="H1065" s="138">
        <v>0</v>
      </c>
      <c r="I1065" s="138">
        <v>0</v>
      </c>
      <c r="J1065" s="138">
        <v>0</v>
      </c>
      <c r="K1065" s="138">
        <v>0</v>
      </c>
      <c r="L1065" s="138">
        <v>0</v>
      </c>
      <c r="M1065" s="138">
        <v>0</v>
      </c>
      <c r="N1065" s="138">
        <v>0</v>
      </c>
      <c r="O1065" s="138">
        <v>0</v>
      </c>
      <c r="P1065" s="138">
        <v>0</v>
      </c>
      <c r="Q1065" s="138">
        <v>0</v>
      </c>
      <c r="R1065" s="138">
        <v>0</v>
      </c>
      <c r="S1065" s="137"/>
    </row>
    <row r="1066" spans="1:19" x14ac:dyDescent="0.25">
      <c r="A1066" s="59" t="s">
        <v>10</v>
      </c>
      <c r="B1066" s="58">
        <v>179041.6</v>
      </c>
      <c r="C1066" s="96">
        <v>0</v>
      </c>
      <c r="D1066" s="58"/>
      <c r="E1066" s="58">
        <f t="shared" si="302"/>
        <v>179041.6</v>
      </c>
      <c r="F1066" s="138">
        <f t="shared" si="303"/>
        <v>179041.6</v>
      </c>
      <c r="G1066" s="138">
        <v>0</v>
      </c>
      <c r="H1066" s="138">
        <v>0</v>
      </c>
      <c r="I1066" s="138">
        <v>0</v>
      </c>
      <c r="J1066" s="138">
        <v>1000</v>
      </c>
      <c r="K1066" s="138">
        <v>36417.599999999999</v>
      </c>
      <c r="L1066" s="138">
        <v>20232</v>
      </c>
      <c r="M1066" s="138">
        <v>20232</v>
      </c>
      <c r="N1066" s="138">
        <v>20232</v>
      </c>
      <c r="O1066" s="138">
        <v>20232</v>
      </c>
      <c r="P1066" s="138">
        <v>20232</v>
      </c>
      <c r="Q1066" s="138">
        <v>20232</v>
      </c>
      <c r="R1066" s="138">
        <v>20232</v>
      </c>
      <c r="S1066" s="137"/>
    </row>
    <row r="1067" spans="1:19" x14ac:dyDescent="0.25">
      <c r="A1067" s="59" t="s">
        <v>231</v>
      </c>
      <c r="B1067" s="58">
        <v>3266.76</v>
      </c>
      <c r="C1067" s="49"/>
      <c r="D1067" s="58"/>
      <c r="E1067" s="58">
        <f t="shared" si="302"/>
        <v>3266.76</v>
      </c>
      <c r="F1067" s="138">
        <f t="shared" si="303"/>
        <v>3266.76</v>
      </c>
      <c r="G1067" s="138">
        <v>0</v>
      </c>
      <c r="H1067" s="138">
        <v>0</v>
      </c>
      <c r="I1067" s="138">
        <v>0</v>
      </c>
      <c r="J1067" s="138">
        <v>0</v>
      </c>
      <c r="K1067" s="138">
        <v>0</v>
      </c>
      <c r="L1067" s="138">
        <v>0</v>
      </c>
      <c r="M1067" s="138">
        <v>1949</v>
      </c>
      <c r="N1067" s="138">
        <v>1317.76</v>
      </c>
      <c r="O1067" s="138">
        <v>0</v>
      </c>
      <c r="P1067" s="138">
        <v>0</v>
      </c>
      <c r="Q1067" s="138">
        <v>0</v>
      </c>
      <c r="R1067" s="138">
        <v>0</v>
      </c>
      <c r="S1067" s="137"/>
    </row>
    <row r="1068" spans="1:19" x14ac:dyDescent="0.25">
      <c r="A1068" s="59" t="s">
        <v>256</v>
      </c>
      <c r="B1068" s="58">
        <v>120.02</v>
      </c>
      <c r="C1068" s="49"/>
      <c r="D1068" s="58"/>
      <c r="E1068" s="58">
        <f t="shared" si="302"/>
        <v>120.02</v>
      </c>
      <c r="F1068" s="138">
        <f t="shared" si="303"/>
        <v>120.02</v>
      </c>
      <c r="G1068" s="138">
        <v>0</v>
      </c>
      <c r="H1068" s="138">
        <v>0</v>
      </c>
      <c r="I1068" s="138">
        <v>0</v>
      </c>
      <c r="J1068" s="138">
        <v>0</v>
      </c>
      <c r="K1068" s="138">
        <v>0</v>
      </c>
      <c r="L1068" s="138">
        <v>0</v>
      </c>
      <c r="M1068" s="138">
        <v>0</v>
      </c>
      <c r="N1068" s="138">
        <v>0</v>
      </c>
      <c r="O1068" s="138">
        <v>120.02</v>
      </c>
      <c r="P1068" s="138">
        <v>0</v>
      </c>
      <c r="Q1068" s="138">
        <v>0</v>
      </c>
      <c r="R1068" s="138">
        <v>0</v>
      </c>
      <c r="S1068" s="137"/>
    </row>
    <row r="1069" spans="1:19" x14ac:dyDescent="0.25">
      <c r="A1069" s="59" t="s">
        <v>11</v>
      </c>
      <c r="B1069" s="58">
        <v>0</v>
      </c>
      <c r="C1069" s="95">
        <v>14094</v>
      </c>
      <c r="D1069" s="58"/>
      <c r="E1069" s="58">
        <f t="shared" si="302"/>
        <v>14094</v>
      </c>
      <c r="F1069" s="138">
        <f t="shared" si="303"/>
        <v>14094</v>
      </c>
      <c r="G1069" s="138">
        <v>0</v>
      </c>
      <c r="H1069" s="138">
        <v>0</v>
      </c>
      <c r="I1069" s="138">
        <v>0</v>
      </c>
      <c r="J1069" s="138">
        <v>0</v>
      </c>
      <c r="K1069" s="138">
        <v>0</v>
      </c>
      <c r="L1069" s="138">
        <v>0</v>
      </c>
      <c r="M1069" s="138">
        <v>0</v>
      </c>
      <c r="N1069" s="138">
        <v>14094</v>
      </c>
      <c r="O1069" s="138">
        <v>0</v>
      </c>
      <c r="P1069" s="138">
        <v>0</v>
      </c>
      <c r="Q1069" s="138">
        <v>0</v>
      </c>
      <c r="R1069" s="138">
        <v>0</v>
      </c>
      <c r="S1069" s="137"/>
    </row>
    <row r="1070" spans="1:19" x14ac:dyDescent="0.25">
      <c r="A1070" s="59" t="s">
        <v>100</v>
      </c>
      <c r="B1070" s="58">
        <v>974</v>
      </c>
      <c r="C1070" s="96"/>
      <c r="D1070" s="58"/>
      <c r="E1070" s="58">
        <f t="shared" si="302"/>
        <v>974</v>
      </c>
      <c r="F1070" s="138">
        <f t="shared" si="303"/>
        <v>974</v>
      </c>
      <c r="G1070" s="138">
        <v>0</v>
      </c>
      <c r="H1070" s="138">
        <v>0</v>
      </c>
      <c r="I1070" s="138">
        <v>0</v>
      </c>
      <c r="J1070" s="138">
        <v>0</v>
      </c>
      <c r="K1070" s="138">
        <v>5649</v>
      </c>
      <c r="L1070" s="138">
        <v>0</v>
      </c>
      <c r="M1070" s="138">
        <v>0</v>
      </c>
      <c r="N1070" s="138">
        <v>0</v>
      </c>
      <c r="O1070" s="138">
        <v>-4675</v>
      </c>
      <c r="P1070" s="138">
        <v>0</v>
      </c>
      <c r="Q1070" s="138">
        <v>0</v>
      </c>
      <c r="R1070" s="138">
        <v>0</v>
      </c>
      <c r="S1070" s="137"/>
    </row>
    <row r="1071" spans="1:19" x14ac:dyDescent="0.25">
      <c r="A1071" s="59" t="s">
        <v>257</v>
      </c>
      <c r="B1071" s="58">
        <v>539.64</v>
      </c>
      <c r="C1071" s="96"/>
      <c r="D1071" s="58"/>
      <c r="E1071" s="58">
        <f t="shared" si="302"/>
        <v>539.64</v>
      </c>
      <c r="F1071" s="138">
        <f t="shared" si="303"/>
        <v>539.64</v>
      </c>
      <c r="G1071" s="138">
        <v>0</v>
      </c>
      <c r="H1071" s="138">
        <v>0</v>
      </c>
      <c r="I1071" s="138">
        <v>0</v>
      </c>
      <c r="J1071" s="138">
        <v>0</v>
      </c>
      <c r="K1071" s="138">
        <v>317.04000000000002</v>
      </c>
      <c r="L1071" s="138">
        <v>0</v>
      </c>
      <c r="M1071" s="138">
        <v>0</v>
      </c>
      <c r="N1071" s="138">
        <v>222.6</v>
      </c>
      <c r="O1071" s="138">
        <v>0</v>
      </c>
      <c r="P1071" s="138">
        <v>0</v>
      </c>
      <c r="Q1071" s="138">
        <v>0</v>
      </c>
      <c r="R1071" s="138">
        <v>0</v>
      </c>
      <c r="S1071" s="137"/>
    </row>
    <row r="1072" spans="1:19" x14ac:dyDescent="0.25">
      <c r="A1072" s="59" t="s">
        <v>89</v>
      </c>
      <c r="B1072" s="58">
        <v>3306</v>
      </c>
      <c r="C1072" s="96"/>
      <c r="D1072" s="58"/>
      <c r="E1072" s="58">
        <f t="shared" si="302"/>
        <v>3306</v>
      </c>
      <c r="F1072" s="138">
        <f t="shared" si="303"/>
        <v>3306</v>
      </c>
      <c r="G1072" s="138">
        <v>0</v>
      </c>
      <c r="H1072" s="138">
        <v>0</v>
      </c>
      <c r="I1072" s="138">
        <v>0</v>
      </c>
      <c r="J1072" s="138">
        <v>0</v>
      </c>
      <c r="K1072" s="138">
        <v>3306</v>
      </c>
      <c r="L1072" s="138">
        <v>0</v>
      </c>
      <c r="M1072" s="138">
        <v>0</v>
      </c>
      <c r="N1072" s="138">
        <v>0</v>
      </c>
      <c r="O1072" s="138">
        <v>0</v>
      </c>
      <c r="P1072" s="138">
        <v>0</v>
      </c>
      <c r="Q1072" s="138">
        <v>0</v>
      </c>
      <c r="R1072" s="138">
        <v>0</v>
      </c>
      <c r="S1072" s="137"/>
    </row>
    <row r="1073" spans="1:19" x14ac:dyDescent="0.25">
      <c r="A1073" s="59" t="s">
        <v>243</v>
      </c>
      <c r="B1073" s="58">
        <v>1334.66</v>
      </c>
      <c r="C1073" s="96"/>
      <c r="D1073" s="58"/>
      <c r="E1073" s="58">
        <f t="shared" si="302"/>
        <v>1334.66</v>
      </c>
      <c r="F1073" s="138">
        <f t="shared" si="303"/>
        <v>1334.66</v>
      </c>
      <c r="G1073" s="138">
        <v>0</v>
      </c>
      <c r="H1073" s="138">
        <v>0</v>
      </c>
      <c r="I1073" s="138">
        <v>0</v>
      </c>
      <c r="J1073" s="138">
        <v>0</v>
      </c>
      <c r="K1073" s="138">
        <v>234.4</v>
      </c>
      <c r="L1073" s="138">
        <v>0</v>
      </c>
      <c r="M1073" s="138">
        <v>0</v>
      </c>
      <c r="N1073" s="138">
        <v>1100.26</v>
      </c>
      <c r="O1073" s="138">
        <v>0</v>
      </c>
      <c r="P1073" s="138">
        <v>0</v>
      </c>
      <c r="Q1073" s="138">
        <v>0</v>
      </c>
      <c r="R1073" s="138">
        <v>0</v>
      </c>
      <c r="S1073" s="137"/>
    </row>
    <row r="1074" spans="1:19" x14ac:dyDescent="0.25">
      <c r="A1074" s="59" t="s">
        <v>12</v>
      </c>
      <c r="B1074" s="58">
        <v>0</v>
      </c>
      <c r="C1074" s="96"/>
      <c r="D1074" s="58"/>
      <c r="E1074" s="58">
        <f t="shared" si="302"/>
        <v>0</v>
      </c>
      <c r="F1074" s="138">
        <f t="shared" si="303"/>
        <v>0</v>
      </c>
      <c r="G1074" s="138">
        <v>0</v>
      </c>
      <c r="H1074" s="138">
        <v>0</v>
      </c>
      <c r="I1074" s="138">
        <v>0</v>
      </c>
      <c r="J1074" s="138">
        <v>0</v>
      </c>
      <c r="K1074" s="138">
        <v>0</v>
      </c>
      <c r="L1074" s="138">
        <v>0</v>
      </c>
      <c r="M1074" s="138">
        <v>0</v>
      </c>
      <c r="N1074" s="138">
        <v>0</v>
      </c>
      <c r="O1074" s="138">
        <v>0</v>
      </c>
      <c r="P1074" s="138">
        <v>0</v>
      </c>
      <c r="Q1074" s="138">
        <v>0</v>
      </c>
      <c r="R1074" s="138">
        <v>0</v>
      </c>
      <c r="S1074" s="137"/>
    </row>
    <row r="1075" spans="1:19" x14ac:dyDescent="0.25">
      <c r="A1075" s="59" t="s">
        <v>13</v>
      </c>
      <c r="B1075" s="58">
        <v>0</v>
      </c>
      <c r="C1075" s="96"/>
      <c r="D1075" s="58"/>
      <c r="E1075" s="58">
        <f t="shared" si="302"/>
        <v>0</v>
      </c>
      <c r="F1075" s="138">
        <f t="shared" si="303"/>
        <v>0</v>
      </c>
      <c r="G1075" s="138">
        <v>0</v>
      </c>
      <c r="H1075" s="138">
        <v>0</v>
      </c>
      <c r="I1075" s="138">
        <v>0</v>
      </c>
      <c r="J1075" s="138">
        <v>0</v>
      </c>
      <c r="K1075" s="138">
        <v>0</v>
      </c>
      <c r="L1075" s="138">
        <v>0</v>
      </c>
      <c r="M1075" s="138">
        <v>0</v>
      </c>
      <c r="N1075" s="138">
        <v>0</v>
      </c>
      <c r="O1075" s="138">
        <v>0</v>
      </c>
      <c r="P1075" s="138">
        <v>0</v>
      </c>
      <c r="Q1075" s="138">
        <v>0</v>
      </c>
      <c r="R1075" s="138">
        <v>0</v>
      </c>
      <c r="S1075" s="137"/>
    </row>
    <row r="1076" spans="1:19" x14ac:dyDescent="0.25">
      <c r="A1076" s="59" t="s">
        <v>172</v>
      </c>
      <c r="B1076" s="58">
        <v>0</v>
      </c>
      <c r="C1076" s="96"/>
      <c r="D1076" s="58"/>
      <c r="E1076" s="58">
        <f t="shared" si="302"/>
        <v>0</v>
      </c>
      <c r="F1076" s="138">
        <f t="shared" si="303"/>
        <v>0</v>
      </c>
      <c r="G1076" s="138">
        <v>0</v>
      </c>
      <c r="H1076" s="138">
        <v>0</v>
      </c>
      <c r="I1076" s="138">
        <v>0</v>
      </c>
      <c r="J1076" s="138">
        <v>0</v>
      </c>
      <c r="K1076" s="138">
        <v>0</v>
      </c>
      <c r="L1076" s="138">
        <v>0</v>
      </c>
      <c r="M1076" s="138">
        <v>0</v>
      </c>
      <c r="N1076" s="138">
        <v>0</v>
      </c>
      <c r="O1076" s="138">
        <v>0</v>
      </c>
      <c r="P1076" s="138">
        <v>0</v>
      </c>
      <c r="Q1076" s="138">
        <v>0</v>
      </c>
      <c r="R1076" s="138">
        <v>0</v>
      </c>
      <c r="S1076" s="137"/>
    </row>
    <row r="1077" spans="1:19" x14ac:dyDescent="0.25">
      <c r="A1077" s="117" t="s">
        <v>171</v>
      </c>
      <c r="B1077" s="58">
        <v>17008.28</v>
      </c>
      <c r="C1077" s="99"/>
      <c r="D1077" s="58"/>
      <c r="E1077" s="58">
        <f t="shared" si="302"/>
        <v>17008.28</v>
      </c>
      <c r="F1077" s="138">
        <f t="shared" si="303"/>
        <v>17008.28</v>
      </c>
      <c r="G1077" s="138">
        <v>0</v>
      </c>
      <c r="H1077" s="138">
        <v>0</v>
      </c>
      <c r="I1077" s="138">
        <v>0</v>
      </c>
      <c r="J1077" s="138">
        <v>0</v>
      </c>
      <c r="K1077" s="138">
        <v>3543</v>
      </c>
      <c r="L1077" s="138">
        <v>0</v>
      </c>
      <c r="M1077" s="138">
        <v>9860</v>
      </c>
      <c r="N1077" s="138">
        <v>3605.28</v>
      </c>
      <c r="O1077" s="138">
        <v>0</v>
      </c>
      <c r="P1077" s="138">
        <v>0</v>
      </c>
      <c r="Q1077" s="138">
        <v>0</v>
      </c>
      <c r="R1077" s="138">
        <v>0</v>
      </c>
      <c r="S1077" s="137"/>
    </row>
    <row r="1078" spans="1:19" x14ac:dyDescent="0.25">
      <c r="A1078" s="117" t="s">
        <v>258</v>
      </c>
      <c r="B1078" s="58">
        <v>351.99</v>
      </c>
      <c r="C1078" s="99"/>
      <c r="D1078" s="58"/>
      <c r="E1078" s="58">
        <f t="shared" si="302"/>
        <v>351.99</v>
      </c>
      <c r="F1078" s="138">
        <f t="shared" si="303"/>
        <v>351.99</v>
      </c>
      <c r="G1078" s="138">
        <v>0</v>
      </c>
      <c r="H1078" s="138">
        <v>0</v>
      </c>
      <c r="I1078" s="138">
        <v>0</v>
      </c>
      <c r="J1078" s="138">
        <v>0</v>
      </c>
      <c r="K1078" s="138">
        <v>0</v>
      </c>
      <c r="L1078" s="138">
        <v>0</v>
      </c>
      <c r="M1078" s="138">
        <v>72</v>
      </c>
      <c r="N1078" s="138">
        <v>0</v>
      </c>
      <c r="O1078" s="138">
        <v>279.99</v>
      </c>
      <c r="P1078" s="138">
        <v>0</v>
      </c>
      <c r="Q1078" s="138">
        <v>0</v>
      </c>
      <c r="R1078" s="138">
        <v>0</v>
      </c>
      <c r="S1078" s="137"/>
    </row>
    <row r="1079" spans="1:19" x14ac:dyDescent="0.25">
      <c r="A1079" s="59" t="s">
        <v>5</v>
      </c>
      <c r="B1079" s="58"/>
      <c r="C1079" s="96"/>
      <c r="D1079" s="58"/>
      <c r="E1079" s="58">
        <f t="shared" si="301"/>
        <v>0</v>
      </c>
      <c r="F1079" s="138">
        <f t="shared" si="300"/>
        <v>0</v>
      </c>
      <c r="G1079" s="138"/>
      <c r="H1079" s="138"/>
      <c r="I1079" s="138"/>
      <c r="J1079" s="138"/>
      <c r="K1079" s="138"/>
      <c r="L1079" s="138"/>
      <c r="M1079" s="138"/>
      <c r="N1079" s="138"/>
      <c r="O1079" s="138"/>
      <c r="P1079" s="138"/>
      <c r="Q1079" s="138"/>
      <c r="R1079" s="138"/>
      <c r="S1079" s="137"/>
    </row>
    <row r="1080" spans="1:19" x14ac:dyDescent="0.25">
      <c r="A1080" s="9"/>
      <c r="B1080" s="40"/>
      <c r="C1080" s="49"/>
      <c r="D1080" s="40"/>
      <c r="E1080" s="51"/>
      <c r="F1080" s="138"/>
      <c r="G1080" s="138"/>
      <c r="H1080" s="138"/>
      <c r="I1080" s="138"/>
      <c r="J1080" s="138"/>
      <c r="K1080" s="138"/>
      <c r="L1080" s="138"/>
      <c r="M1080" s="138"/>
      <c r="N1080" s="138"/>
      <c r="O1080" s="138"/>
      <c r="P1080" s="138"/>
      <c r="Q1080" s="138"/>
      <c r="R1080" s="138"/>
      <c r="S1080" s="137"/>
    </row>
    <row r="1081" spans="1:19" ht="18.75" x14ac:dyDescent="0.4">
      <c r="A1081" s="32" t="s">
        <v>111</v>
      </c>
      <c r="B1081" s="40"/>
      <c r="C1081" s="40"/>
      <c r="D1081" s="40"/>
      <c r="E1081" s="51"/>
      <c r="F1081" s="138"/>
      <c r="G1081" s="138"/>
      <c r="H1081" s="138"/>
      <c r="I1081" s="138"/>
      <c r="J1081" s="138"/>
      <c r="K1081" s="138"/>
      <c r="L1081" s="138"/>
      <c r="M1081" s="138"/>
      <c r="N1081" s="138"/>
      <c r="O1081" s="138"/>
      <c r="P1081" s="138"/>
      <c r="Q1081" s="138"/>
      <c r="R1081" s="138"/>
      <c r="S1081" s="137"/>
    </row>
    <row r="1082" spans="1:19" x14ac:dyDescent="0.25">
      <c r="A1082" s="59"/>
      <c r="B1082" s="58"/>
      <c r="C1082" s="58"/>
      <c r="D1082" s="58"/>
      <c r="E1082" s="58">
        <f t="shared" ref="E1082:E1083" si="304">+B1082+C1082+D1082</f>
        <v>0</v>
      </c>
      <c r="F1082" s="138"/>
      <c r="G1082" s="138"/>
      <c r="H1082" s="138"/>
      <c r="I1082" s="138"/>
      <c r="J1082" s="138"/>
      <c r="K1082" s="138"/>
      <c r="L1082" s="138"/>
      <c r="M1082" s="138"/>
      <c r="N1082" s="138"/>
      <c r="O1082" s="138"/>
      <c r="P1082" s="138"/>
      <c r="Q1082" s="138"/>
      <c r="R1082" s="138"/>
      <c r="S1082" s="137"/>
    </row>
    <row r="1083" spans="1:19" x14ac:dyDescent="0.25">
      <c r="A1083" s="59"/>
      <c r="B1083" s="58"/>
      <c r="C1083" s="58"/>
      <c r="D1083" s="58"/>
      <c r="E1083" s="58">
        <f t="shared" si="304"/>
        <v>0</v>
      </c>
      <c r="F1083" s="138"/>
      <c r="G1083" s="138"/>
      <c r="H1083" s="138"/>
      <c r="I1083" s="138"/>
      <c r="J1083" s="138"/>
      <c r="K1083" s="138"/>
      <c r="L1083" s="138"/>
      <c r="M1083" s="138"/>
      <c r="N1083" s="138"/>
      <c r="O1083" s="138"/>
      <c r="P1083" s="138"/>
      <c r="Q1083" s="138"/>
      <c r="R1083" s="138"/>
      <c r="S1083" s="137"/>
    </row>
    <row r="1084" spans="1:19" ht="18.75" x14ac:dyDescent="0.4">
      <c r="A1084" s="32" t="s">
        <v>112</v>
      </c>
      <c r="B1084" s="40"/>
      <c r="C1084" s="40"/>
      <c r="D1084" s="40"/>
      <c r="E1084" s="51"/>
      <c r="F1084" s="138"/>
      <c r="G1084" s="138"/>
      <c r="H1084" s="138"/>
      <c r="I1084" s="138"/>
      <c r="J1084" s="138"/>
      <c r="K1084" s="138"/>
      <c r="L1084" s="138"/>
      <c r="M1084" s="138"/>
      <c r="N1084" s="138"/>
      <c r="O1084" s="138"/>
      <c r="P1084" s="138"/>
      <c r="Q1084" s="138"/>
      <c r="R1084" s="138"/>
      <c r="S1084" s="137"/>
    </row>
    <row r="1085" spans="1:19" x14ac:dyDescent="0.25">
      <c r="A1085" s="60" t="s">
        <v>157</v>
      </c>
      <c r="B1085" s="58">
        <v>0</v>
      </c>
      <c r="C1085" s="58">
        <v>0</v>
      </c>
      <c r="D1085" s="58">
        <v>628140</v>
      </c>
      <c r="E1085" s="58">
        <f t="shared" ref="E1085:E1086" si="305">+B1085+C1085+D1085</f>
        <v>628140</v>
      </c>
      <c r="F1085" s="138">
        <f t="shared" ref="F1085:F1086" si="306">SUM(G1085:R1085)</f>
        <v>628140</v>
      </c>
      <c r="G1085" s="138">
        <v>0</v>
      </c>
      <c r="H1085" s="138">
        <v>0</v>
      </c>
      <c r="I1085" s="138">
        <v>0</v>
      </c>
      <c r="J1085" s="138">
        <v>0</v>
      </c>
      <c r="K1085" s="138">
        <v>0</v>
      </c>
      <c r="L1085" s="138">
        <v>628140</v>
      </c>
      <c r="M1085" s="138">
        <v>0</v>
      </c>
      <c r="N1085" s="138">
        <v>0</v>
      </c>
      <c r="O1085" s="138">
        <v>0</v>
      </c>
      <c r="P1085" s="138">
        <v>0</v>
      </c>
      <c r="Q1085" s="138">
        <v>0</v>
      </c>
      <c r="R1085" s="138">
        <v>0</v>
      </c>
      <c r="S1085" s="137"/>
    </row>
    <row r="1086" spans="1:19" x14ac:dyDescent="0.25">
      <c r="A1086" s="60" t="s">
        <v>75</v>
      </c>
      <c r="B1086" s="61">
        <v>0</v>
      </c>
      <c r="C1086" s="58"/>
      <c r="D1086" s="58"/>
      <c r="E1086" s="58">
        <f t="shared" si="305"/>
        <v>0</v>
      </c>
      <c r="F1086" s="138">
        <f t="shared" si="306"/>
        <v>0</v>
      </c>
      <c r="G1086" s="138"/>
      <c r="H1086" s="138"/>
      <c r="I1086" s="138"/>
      <c r="J1086" s="138"/>
      <c r="K1086" s="138"/>
      <c r="L1086" s="138"/>
      <c r="M1086" s="138"/>
      <c r="N1086" s="138"/>
      <c r="O1086" s="138"/>
      <c r="P1086" s="138"/>
      <c r="Q1086" s="138"/>
      <c r="R1086" s="138"/>
      <c r="S1086" s="137"/>
    </row>
    <row r="1087" spans="1:19" ht="18.75" x14ac:dyDescent="0.4">
      <c r="A1087" s="34" t="s">
        <v>113</v>
      </c>
      <c r="B1087" s="40"/>
      <c r="C1087" s="40"/>
      <c r="D1087" s="40"/>
      <c r="E1087" s="51"/>
      <c r="F1087" s="138"/>
      <c r="G1087" s="138"/>
      <c r="H1087" s="138"/>
      <c r="I1087" s="138"/>
      <c r="J1087" s="138"/>
      <c r="K1087" s="138"/>
      <c r="L1087" s="138"/>
      <c r="M1087" s="138"/>
      <c r="N1087" s="138"/>
      <c r="O1087" s="138"/>
      <c r="P1087" s="138"/>
      <c r="Q1087" s="138"/>
      <c r="R1087" s="138"/>
      <c r="S1087" s="137"/>
    </row>
    <row r="1088" spans="1:19" x14ac:dyDescent="0.25">
      <c r="A1088" s="92" t="s">
        <v>133</v>
      </c>
      <c r="B1088" s="58">
        <v>0</v>
      </c>
      <c r="C1088" s="98">
        <v>30130.880000000001</v>
      </c>
      <c r="D1088" s="58"/>
      <c r="E1088" s="58">
        <f>+B1088+C1088+D1088</f>
        <v>30130.880000000001</v>
      </c>
      <c r="F1088" s="138">
        <f t="shared" ref="F1088:F1096" si="307">SUM(G1088:R1088)</f>
        <v>5748.99</v>
      </c>
      <c r="G1088" s="138">
        <v>0</v>
      </c>
      <c r="H1088" s="138">
        <v>0</v>
      </c>
      <c r="I1088" s="138">
        <v>0</v>
      </c>
      <c r="J1088" s="138">
        <v>0</v>
      </c>
      <c r="K1088" s="138">
        <v>0</v>
      </c>
      <c r="L1088" s="138">
        <v>0</v>
      </c>
      <c r="M1088" s="138">
        <v>5748.99</v>
      </c>
      <c r="N1088" s="138">
        <v>0</v>
      </c>
      <c r="O1088" s="138">
        <v>0</v>
      </c>
      <c r="P1088" s="138">
        <v>0</v>
      </c>
      <c r="Q1088" s="138">
        <v>0</v>
      </c>
      <c r="R1088" s="138">
        <v>0</v>
      </c>
      <c r="S1088" s="137"/>
    </row>
    <row r="1089" spans="1:34" x14ac:dyDescent="0.25">
      <c r="A1089" s="92" t="s">
        <v>134</v>
      </c>
      <c r="B1089" s="96">
        <v>0</v>
      </c>
      <c r="C1089" s="98">
        <v>7872.62</v>
      </c>
      <c r="D1089" s="96"/>
      <c r="E1089" s="58">
        <f>+B1089+C1089+D1089</f>
        <v>7872.62</v>
      </c>
      <c r="F1089" s="138">
        <f t="shared" si="307"/>
        <v>7872.62</v>
      </c>
      <c r="G1089" s="138">
        <v>0</v>
      </c>
      <c r="H1089" s="138">
        <v>0</v>
      </c>
      <c r="I1089" s="138">
        <v>0</v>
      </c>
      <c r="J1089" s="138">
        <v>0</v>
      </c>
      <c r="K1089" s="138">
        <v>0</v>
      </c>
      <c r="L1089" s="138">
        <v>0</v>
      </c>
      <c r="M1089" s="138">
        <v>0</v>
      </c>
      <c r="N1089" s="138">
        <v>0</v>
      </c>
      <c r="O1089" s="138">
        <v>0</v>
      </c>
      <c r="P1089" s="138">
        <v>7872.62</v>
      </c>
      <c r="Q1089" s="138">
        <v>0</v>
      </c>
      <c r="R1089" s="138">
        <v>0</v>
      </c>
      <c r="S1089" s="137"/>
    </row>
    <row r="1090" spans="1:34" x14ac:dyDescent="0.25">
      <c r="A1090" s="92" t="s">
        <v>135</v>
      </c>
      <c r="B1090" s="96">
        <v>0</v>
      </c>
      <c r="C1090" s="98">
        <v>2705.42</v>
      </c>
      <c r="D1090" s="96"/>
      <c r="E1090" s="58">
        <f>+B1090+C1090+D1090</f>
        <v>2705.42</v>
      </c>
      <c r="F1090" s="138">
        <f t="shared" si="307"/>
        <v>2705.42</v>
      </c>
      <c r="G1090" s="138">
        <v>0</v>
      </c>
      <c r="H1090" s="138">
        <v>0</v>
      </c>
      <c r="I1090" s="138">
        <v>0</v>
      </c>
      <c r="J1090" s="138">
        <v>0</v>
      </c>
      <c r="K1090" s="138">
        <v>0</v>
      </c>
      <c r="L1090" s="138">
        <v>0</v>
      </c>
      <c r="M1090" s="138">
        <v>0</v>
      </c>
      <c r="N1090" s="138">
        <v>0</v>
      </c>
      <c r="O1090" s="138">
        <v>0</v>
      </c>
      <c r="P1090" s="138">
        <v>2705.42</v>
      </c>
      <c r="Q1090" s="138">
        <v>0</v>
      </c>
      <c r="R1090" s="138">
        <v>0</v>
      </c>
      <c r="S1090" s="137"/>
    </row>
    <row r="1091" spans="1:34" x14ac:dyDescent="0.25">
      <c r="A1091" s="92" t="s">
        <v>178</v>
      </c>
      <c r="B1091" s="96">
        <v>0</v>
      </c>
      <c r="C1091" s="98">
        <v>21146.799999999999</v>
      </c>
      <c r="D1091" s="96"/>
      <c r="E1091" s="58">
        <f>+B1091+C1091+D1091</f>
        <v>21146.799999999999</v>
      </c>
      <c r="F1091" s="138">
        <f t="shared" si="307"/>
        <v>21146</v>
      </c>
      <c r="G1091" s="138">
        <v>0</v>
      </c>
      <c r="H1091" s="138">
        <v>0</v>
      </c>
      <c r="I1091" s="138">
        <v>0</v>
      </c>
      <c r="J1091" s="138">
        <v>0</v>
      </c>
      <c r="K1091" s="138">
        <v>0</v>
      </c>
      <c r="L1091" s="138">
        <v>0</v>
      </c>
      <c r="M1091" s="138">
        <v>0</v>
      </c>
      <c r="N1091" s="138">
        <v>0</v>
      </c>
      <c r="O1091" s="138">
        <v>0</v>
      </c>
      <c r="P1091" s="138">
        <v>21146</v>
      </c>
      <c r="Q1091" s="138">
        <v>0</v>
      </c>
      <c r="R1091" s="138">
        <v>0</v>
      </c>
      <c r="S1091" s="137"/>
    </row>
    <row r="1092" spans="1:34" x14ac:dyDescent="0.25">
      <c r="A1092" s="92" t="s">
        <v>137</v>
      </c>
      <c r="B1092" s="96"/>
      <c r="C1092" s="98">
        <v>4859.82</v>
      </c>
      <c r="D1092" s="96"/>
      <c r="E1092" s="58">
        <f t="shared" ref="E1092:E1095" si="308">+B1092+C1092+D1092</f>
        <v>4859.82</v>
      </c>
      <c r="F1092" s="138">
        <f t="shared" si="307"/>
        <v>4859.82</v>
      </c>
      <c r="G1092" s="138">
        <v>0</v>
      </c>
      <c r="H1092" s="138">
        <v>0</v>
      </c>
      <c r="I1092" s="138">
        <v>0</v>
      </c>
      <c r="J1092" s="138">
        <v>0</v>
      </c>
      <c r="K1092" s="138">
        <v>0</v>
      </c>
      <c r="L1092" s="138">
        <v>0</v>
      </c>
      <c r="M1092" s="138">
        <v>0</v>
      </c>
      <c r="N1092" s="138">
        <v>0</v>
      </c>
      <c r="O1092" s="138">
        <v>0</v>
      </c>
      <c r="P1092" s="138">
        <v>4859.82</v>
      </c>
      <c r="Q1092" s="138">
        <v>0</v>
      </c>
      <c r="R1092" s="138">
        <v>0</v>
      </c>
      <c r="S1092" s="137"/>
    </row>
    <row r="1093" spans="1:34" x14ac:dyDescent="0.25">
      <c r="A1093" s="92" t="s">
        <v>163</v>
      </c>
      <c r="B1093" s="98">
        <v>0</v>
      </c>
      <c r="C1093" s="98">
        <v>55500.78</v>
      </c>
      <c r="D1093" s="96"/>
      <c r="E1093" s="58">
        <f t="shared" si="308"/>
        <v>55500.78</v>
      </c>
      <c r="F1093" s="138">
        <f t="shared" si="307"/>
        <v>55500.78</v>
      </c>
      <c r="G1093" s="138">
        <v>0</v>
      </c>
      <c r="H1093" s="138">
        <v>0</v>
      </c>
      <c r="I1093" s="138">
        <v>0</v>
      </c>
      <c r="J1093" s="138">
        <v>0</v>
      </c>
      <c r="K1093" s="138">
        <v>0</v>
      </c>
      <c r="L1093" s="138">
        <v>0</v>
      </c>
      <c r="M1093" s="138">
        <v>0</v>
      </c>
      <c r="N1093" s="138">
        <v>0</v>
      </c>
      <c r="O1093" s="138">
        <v>0</v>
      </c>
      <c r="P1093" s="138">
        <v>0</v>
      </c>
      <c r="Q1093" s="138">
        <v>55500.78</v>
      </c>
      <c r="R1093" s="138">
        <v>0</v>
      </c>
      <c r="S1093" s="137"/>
    </row>
    <row r="1094" spans="1:34" x14ac:dyDescent="0.25">
      <c r="A1094" s="92" t="s">
        <v>179</v>
      </c>
      <c r="B1094" s="96"/>
      <c r="C1094" s="96"/>
      <c r="D1094" s="98">
        <v>0</v>
      </c>
      <c r="E1094" s="58">
        <f t="shared" si="308"/>
        <v>0</v>
      </c>
      <c r="F1094" s="138">
        <f t="shared" si="307"/>
        <v>0</v>
      </c>
      <c r="G1094" s="138">
        <v>0</v>
      </c>
      <c r="H1094" s="138">
        <v>0</v>
      </c>
      <c r="I1094" s="138">
        <v>0</v>
      </c>
      <c r="J1094" s="138">
        <v>0</v>
      </c>
      <c r="K1094" s="138">
        <v>0</v>
      </c>
      <c r="L1094" s="138">
        <v>0</v>
      </c>
      <c r="M1094" s="138">
        <v>0</v>
      </c>
      <c r="N1094" s="138">
        <v>0</v>
      </c>
      <c r="O1094" s="138">
        <v>0</v>
      </c>
      <c r="P1094" s="138">
        <v>0</v>
      </c>
      <c r="Q1094" s="138">
        <v>0</v>
      </c>
      <c r="R1094" s="138">
        <v>0</v>
      </c>
      <c r="S1094" s="137"/>
    </row>
    <row r="1095" spans="1:34" x14ac:dyDescent="0.25">
      <c r="A1095" s="92" t="s">
        <v>180</v>
      </c>
      <c r="B1095" s="58">
        <v>0</v>
      </c>
      <c r="C1095" s="58"/>
      <c r="D1095" s="98">
        <v>0</v>
      </c>
      <c r="E1095" s="58">
        <f t="shared" si="308"/>
        <v>0</v>
      </c>
      <c r="F1095" s="138">
        <f t="shared" si="307"/>
        <v>0</v>
      </c>
      <c r="G1095" s="138">
        <v>0</v>
      </c>
      <c r="H1095" s="138">
        <v>0</v>
      </c>
      <c r="I1095" s="138">
        <v>0</v>
      </c>
      <c r="J1095" s="138">
        <v>0</v>
      </c>
      <c r="K1095" s="138">
        <v>0</v>
      </c>
      <c r="L1095" s="138">
        <v>0</v>
      </c>
      <c r="M1095" s="138">
        <v>0</v>
      </c>
      <c r="N1095" s="138">
        <v>0</v>
      </c>
      <c r="O1095" s="138">
        <v>0</v>
      </c>
      <c r="P1095" s="138">
        <v>0</v>
      </c>
      <c r="Q1095" s="138">
        <v>0</v>
      </c>
      <c r="R1095" s="138">
        <v>0</v>
      </c>
      <c r="S1095" s="137"/>
    </row>
    <row r="1096" spans="1:34" x14ac:dyDescent="0.25">
      <c r="A1096" s="92" t="s">
        <v>273</v>
      </c>
      <c r="B1096" s="58">
        <v>0</v>
      </c>
      <c r="C1096" s="58">
        <v>30512.639999999999</v>
      </c>
      <c r="D1096" s="98">
        <v>0</v>
      </c>
      <c r="E1096" s="58">
        <f t="shared" ref="E1096" si="309">+B1096+C1096+D1096</f>
        <v>30512.639999999999</v>
      </c>
      <c r="F1096" s="138">
        <f t="shared" si="307"/>
        <v>30512.639999999999</v>
      </c>
      <c r="G1096" s="138">
        <v>0</v>
      </c>
      <c r="H1096" s="138">
        <v>0</v>
      </c>
      <c r="I1096" s="138">
        <v>0</v>
      </c>
      <c r="J1096" s="138">
        <v>0</v>
      </c>
      <c r="K1096" s="138">
        <v>30513</v>
      </c>
      <c r="L1096" s="138">
        <v>0</v>
      </c>
      <c r="M1096" s="138">
        <v>-0.36</v>
      </c>
      <c r="N1096" s="138">
        <v>0</v>
      </c>
      <c r="O1096" s="138">
        <v>0</v>
      </c>
      <c r="P1096" s="138">
        <v>0</v>
      </c>
      <c r="Q1096" s="138">
        <v>0</v>
      </c>
      <c r="R1096" s="138">
        <v>0</v>
      </c>
      <c r="S1096" s="137"/>
    </row>
    <row r="1097" spans="1:34" x14ac:dyDescent="0.25">
      <c r="A1097" s="9"/>
      <c r="B1097" s="40"/>
      <c r="C1097" s="49"/>
      <c r="D1097" s="40"/>
      <c r="E1097" s="51"/>
      <c r="F1097" s="138"/>
      <c r="G1097" s="138"/>
      <c r="H1097" s="138"/>
      <c r="I1097" s="138"/>
      <c r="J1097" s="138"/>
      <c r="K1097" s="138"/>
      <c r="L1097" s="138"/>
      <c r="M1097" s="138"/>
      <c r="N1097" s="138"/>
      <c r="O1097" s="138"/>
      <c r="P1097" s="138"/>
      <c r="Q1097" s="138"/>
      <c r="R1097" s="138"/>
      <c r="S1097" s="137"/>
    </row>
    <row r="1098" spans="1:34" x14ac:dyDescent="0.25">
      <c r="A1098" s="9"/>
      <c r="B1098" s="40"/>
      <c r="C1098" s="49"/>
      <c r="D1098" s="40"/>
      <c r="E1098" s="51"/>
      <c r="F1098" s="138"/>
      <c r="G1098" s="138"/>
      <c r="H1098" s="138"/>
      <c r="I1098" s="138"/>
      <c r="J1098" s="138"/>
      <c r="K1098" s="138"/>
      <c r="L1098" s="138"/>
      <c r="M1098" s="138"/>
      <c r="N1098" s="138"/>
      <c r="O1098" s="138"/>
      <c r="P1098" s="138"/>
      <c r="Q1098" s="138"/>
      <c r="R1098" s="138"/>
      <c r="S1098" s="137"/>
    </row>
    <row r="1099" spans="1:34" ht="18.75" x14ac:dyDescent="0.4">
      <c r="A1099" s="169" t="s">
        <v>235</v>
      </c>
      <c r="B1099" s="169"/>
      <c r="C1099" s="169"/>
      <c r="D1099" s="169"/>
      <c r="E1099" s="169"/>
      <c r="F1099" s="150"/>
      <c r="G1099" s="150"/>
      <c r="H1099" s="138"/>
      <c r="I1099" s="138"/>
      <c r="J1099" s="138"/>
      <c r="K1099" s="138"/>
      <c r="L1099" s="138"/>
      <c r="M1099" s="138"/>
      <c r="N1099" s="138"/>
      <c r="O1099" s="138"/>
      <c r="P1099" s="138"/>
      <c r="Q1099" s="138"/>
      <c r="R1099" s="138"/>
      <c r="S1099" s="137"/>
    </row>
    <row r="1100" spans="1:34" s="3" customFormat="1" ht="11.25" customHeight="1" x14ac:dyDescent="0.15">
      <c r="A1100" s="2" t="s">
        <v>75</v>
      </c>
      <c r="B1100" s="39"/>
      <c r="C1100" s="48"/>
      <c r="D1100" s="39"/>
      <c r="E1100" s="39"/>
      <c r="F1100" s="152"/>
      <c r="G1100" s="152"/>
      <c r="H1100" s="138"/>
      <c r="I1100" s="138"/>
      <c r="J1100" s="152"/>
      <c r="K1100" s="138"/>
      <c r="L1100" s="152"/>
      <c r="M1100" s="138"/>
      <c r="N1100" s="152"/>
      <c r="O1100" s="138"/>
      <c r="P1100" s="152"/>
      <c r="Q1100" s="138"/>
      <c r="R1100" s="152"/>
      <c r="S1100" s="139"/>
      <c r="T1100" s="16"/>
      <c r="U1100" s="4"/>
      <c r="V1100" s="16"/>
      <c r="W1100" s="4"/>
      <c r="X1100" s="16"/>
      <c r="Y1100" s="4"/>
      <c r="Z1100" s="16"/>
      <c r="AA1100" s="4"/>
      <c r="AB1100" s="16"/>
      <c r="AC1100" s="4"/>
      <c r="AD1100" s="16"/>
      <c r="AE1100" s="4"/>
      <c r="AF1100" s="16"/>
      <c r="AG1100" s="4"/>
    </row>
    <row r="1101" spans="1:34" s="3" customFormat="1" ht="30" x14ac:dyDescent="0.15">
      <c r="A1101" s="33" t="s">
        <v>105</v>
      </c>
      <c r="B1101" s="38" t="s">
        <v>106</v>
      </c>
      <c r="C1101" s="38" t="s">
        <v>107</v>
      </c>
      <c r="D1101" s="38" t="s">
        <v>108</v>
      </c>
      <c r="E1101" s="38" t="s">
        <v>109</v>
      </c>
      <c r="F1101" s="152"/>
      <c r="G1101" s="38" t="s">
        <v>192</v>
      </c>
      <c r="H1101" s="38" t="s">
        <v>193</v>
      </c>
      <c r="I1101" s="38" t="s">
        <v>194</v>
      </c>
      <c r="J1101" s="38" t="s">
        <v>195</v>
      </c>
      <c r="K1101" s="38" t="s">
        <v>196</v>
      </c>
      <c r="L1101" s="38" t="s">
        <v>197</v>
      </c>
      <c r="M1101" s="38" t="s">
        <v>198</v>
      </c>
      <c r="N1101" s="38" t="s">
        <v>199</v>
      </c>
      <c r="O1101" s="38" t="s">
        <v>200</v>
      </c>
      <c r="P1101" s="38" t="s">
        <v>201</v>
      </c>
      <c r="Q1101" s="38" t="s">
        <v>202</v>
      </c>
      <c r="R1101" s="38" t="s">
        <v>203</v>
      </c>
      <c r="S1101" s="139"/>
      <c r="T1101" s="16"/>
      <c r="U1101" s="4"/>
      <c r="V1101" s="16"/>
      <c r="W1101" s="4"/>
      <c r="X1101" s="16"/>
      <c r="Y1101" s="4"/>
      <c r="Z1101" s="16"/>
      <c r="AA1101" s="4"/>
      <c r="AB1101" s="16"/>
      <c r="AC1101" s="4"/>
      <c r="AD1101" s="16"/>
      <c r="AE1101" s="4"/>
      <c r="AF1101" s="16"/>
      <c r="AG1101" s="4"/>
    </row>
    <row r="1102" spans="1:34" s="3" customFormat="1" ht="18.75" x14ac:dyDescent="0.4">
      <c r="A1102" s="32" t="s">
        <v>110</v>
      </c>
      <c r="B1102" s="37">
        <f>SUM(B1103:B1130)</f>
        <v>1388140.28</v>
      </c>
      <c r="C1102" s="37">
        <f t="shared" ref="C1102:D1102" si="310">SUM(C1103:C1130)</f>
        <v>0</v>
      </c>
      <c r="D1102" s="37">
        <f t="shared" si="310"/>
        <v>0</v>
      </c>
      <c r="E1102" s="37">
        <f>SUM(E1103:E1130)</f>
        <v>1388140.28</v>
      </c>
      <c r="F1102" s="152"/>
      <c r="G1102" s="152"/>
      <c r="H1102" s="138"/>
      <c r="I1102" s="138"/>
      <c r="J1102" s="152"/>
      <c r="K1102" s="138"/>
      <c r="L1102" s="152"/>
      <c r="M1102" s="138"/>
      <c r="N1102" s="152"/>
      <c r="O1102" s="138"/>
      <c r="P1102" s="152"/>
      <c r="Q1102" s="138"/>
      <c r="R1102" s="152"/>
      <c r="S1102" s="139"/>
      <c r="T1102" s="16"/>
      <c r="U1102" s="4"/>
      <c r="V1102" s="16"/>
      <c r="W1102" s="4"/>
      <c r="X1102" s="16"/>
      <c r="Y1102" s="4"/>
      <c r="Z1102" s="16"/>
      <c r="AA1102" s="4"/>
      <c r="AB1102" s="16"/>
      <c r="AC1102" s="4"/>
      <c r="AD1102" s="16"/>
      <c r="AE1102" s="4"/>
      <c r="AF1102" s="16"/>
      <c r="AG1102" s="4"/>
    </row>
    <row r="1103" spans="1:34" s="3" customFormat="1" ht="11.25" customHeight="1" x14ac:dyDescent="0.15">
      <c r="A1103" s="119" t="s">
        <v>1</v>
      </c>
      <c r="B1103" s="110">
        <v>51604.270000000004</v>
      </c>
      <c r="C1103" s="110"/>
      <c r="D1103" s="50"/>
      <c r="E1103" s="52">
        <f>+B1103+C1103+D1103</f>
        <v>51604.270000000004</v>
      </c>
      <c r="F1103" s="138">
        <f t="shared" ref="F1103:F1121" si="311">SUM(G1103:R1103)</f>
        <v>51604.270000000004</v>
      </c>
      <c r="G1103" s="153">
        <v>0</v>
      </c>
      <c r="H1103" s="153">
        <v>0</v>
      </c>
      <c r="I1103" s="153">
        <v>0</v>
      </c>
      <c r="J1103" s="160">
        <v>0</v>
      </c>
      <c r="K1103" s="146">
        <v>11963</v>
      </c>
      <c r="L1103" s="160">
        <v>15000</v>
      </c>
      <c r="M1103" s="146">
        <v>0</v>
      </c>
      <c r="N1103" s="160">
        <v>11829.27</v>
      </c>
      <c r="O1103" s="146">
        <v>0</v>
      </c>
      <c r="P1103" s="160">
        <v>8921</v>
      </c>
      <c r="Q1103" s="146">
        <v>3891</v>
      </c>
      <c r="R1103" s="160">
        <v>0</v>
      </c>
      <c r="S1103" s="140"/>
      <c r="T1103" s="18"/>
      <c r="U1103" s="8"/>
      <c r="V1103" s="18"/>
      <c r="W1103" s="8"/>
      <c r="X1103" s="18"/>
      <c r="Y1103" s="8"/>
      <c r="Z1103" s="18"/>
      <c r="AA1103" s="8"/>
      <c r="AB1103" s="18"/>
      <c r="AC1103" s="8"/>
      <c r="AD1103" s="18"/>
      <c r="AE1103" s="8"/>
      <c r="AF1103" s="18"/>
      <c r="AG1103" s="8"/>
      <c r="AH1103" s="7"/>
    </row>
    <row r="1104" spans="1:34" s="3" customFormat="1" ht="11.25" customHeight="1" x14ac:dyDescent="0.15">
      <c r="A1104" s="59" t="s">
        <v>2</v>
      </c>
      <c r="B1104" s="110">
        <v>27562</v>
      </c>
      <c r="C1104" s="110"/>
      <c r="D1104" s="58"/>
      <c r="E1104" s="52">
        <f t="shared" ref="E1104:E1121" si="312">+B1104+C1104+D1104</f>
        <v>27562</v>
      </c>
      <c r="F1104" s="138">
        <f t="shared" si="311"/>
        <v>27562</v>
      </c>
      <c r="G1104" s="146">
        <v>0</v>
      </c>
      <c r="H1104" s="142">
        <v>0</v>
      </c>
      <c r="I1104" s="146">
        <v>0</v>
      </c>
      <c r="J1104" s="160">
        <v>18665</v>
      </c>
      <c r="K1104" s="146">
        <v>7077</v>
      </c>
      <c r="L1104" s="160">
        <v>0</v>
      </c>
      <c r="M1104" s="146">
        <v>0</v>
      </c>
      <c r="N1104" s="160">
        <v>0</v>
      </c>
      <c r="O1104" s="146">
        <v>0</v>
      </c>
      <c r="P1104" s="160">
        <v>0</v>
      </c>
      <c r="Q1104" s="146">
        <v>1820</v>
      </c>
      <c r="R1104" s="160">
        <v>0</v>
      </c>
      <c r="S1104" s="140"/>
      <c r="T1104" s="18"/>
      <c r="U1104" s="8"/>
      <c r="V1104" s="18"/>
      <c r="W1104" s="8"/>
      <c r="X1104" s="18"/>
      <c r="Y1104" s="8"/>
      <c r="Z1104" s="18"/>
      <c r="AA1104" s="8"/>
      <c r="AB1104" s="18"/>
      <c r="AC1104" s="8"/>
      <c r="AD1104" s="18"/>
      <c r="AE1104" s="8"/>
      <c r="AF1104" s="18"/>
      <c r="AG1104" s="8"/>
      <c r="AH1104" s="7"/>
    </row>
    <row r="1105" spans="1:34" s="3" customFormat="1" ht="11.25" customHeight="1" x14ac:dyDescent="0.15">
      <c r="A1105" s="59" t="s">
        <v>173</v>
      </c>
      <c r="B1105" s="110">
        <v>92051.81</v>
      </c>
      <c r="C1105" s="110"/>
      <c r="D1105" s="58"/>
      <c r="E1105" s="52">
        <f t="shared" si="312"/>
        <v>92051.81</v>
      </c>
      <c r="F1105" s="138">
        <f t="shared" si="311"/>
        <v>92051.81</v>
      </c>
      <c r="G1105" s="146">
        <v>0</v>
      </c>
      <c r="H1105" s="142">
        <v>0</v>
      </c>
      <c r="I1105" s="146">
        <v>0</v>
      </c>
      <c r="J1105" s="160">
        <v>16775.73</v>
      </c>
      <c r="K1105" s="146">
        <v>20605.080000000002</v>
      </c>
      <c r="L1105" s="160">
        <v>0</v>
      </c>
      <c r="M1105" s="146">
        <v>0</v>
      </c>
      <c r="N1105" s="160">
        <v>0</v>
      </c>
      <c r="O1105" s="146">
        <v>0</v>
      </c>
      <c r="P1105" s="160">
        <v>28970</v>
      </c>
      <c r="Q1105" s="146">
        <v>12831</v>
      </c>
      <c r="R1105" s="160">
        <v>12870</v>
      </c>
      <c r="S1105" s="140"/>
      <c r="T1105" s="18"/>
      <c r="U1105" s="8"/>
      <c r="V1105" s="18"/>
      <c r="W1105" s="8"/>
      <c r="X1105" s="18"/>
      <c r="Y1105" s="8"/>
      <c r="Z1105" s="18"/>
      <c r="AA1105" s="8"/>
      <c r="AB1105" s="18"/>
      <c r="AC1105" s="8"/>
      <c r="AD1105" s="18"/>
      <c r="AE1105" s="8"/>
      <c r="AF1105" s="18"/>
      <c r="AG1105" s="8"/>
      <c r="AH1105" s="7"/>
    </row>
    <row r="1106" spans="1:34" s="3" customFormat="1" ht="11.25" customHeight="1" x14ac:dyDescent="0.15">
      <c r="A1106" s="59" t="s">
        <v>249</v>
      </c>
      <c r="B1106" s="110">
        <v>18305.23</v>
      </c>
      <c r="C1106" s="110"/>
      <c r="D1106" s="58"/>
      <c r="E1106" s="52">
        <f t="shared" ref="E1106" si="313">+B1106+C1106+D1106</f>
        <v>18305.23</v>
      </c>
      <c r="F1106" s="138">
        <f t="shared" ref="F1106" si="314">SUM(G1106:R1106)</f>
        <v>18305.23</v>
      </c>
      <c r="G1106" s="146">
        <v>0</v>
      </c>
      <c r="H1106" s="142">
        <v>0</v>
      </c>
      <c r="I1106" s="146">
        <v>0</v>
      </c>
      <c r="J1106" s="160">
        <v>0</v>
      </c>
      <c r="K1106" s="146">
        <v>0</v>
      </c>
      <c r="L1106" s="160">
        <f>45493-23516.68</f>
        <v>21976.32</v>
      </c>
      <c r="M1106" s="146">
        <v>0</v>
      </c>
      <c r="N1106" s="160">
        <v>-6568.09</v>
      </c>
      <c r="O1106" s="146">
        <v>0</v>
      </c>
      <c r="P1106" s="160">
        <v>2897</v>
      </c>
      <c r="Q1106" s="146">
        <v>0</v>
      </c>
      <c r="R1106" s="160">
        <v>0</v>
      </c>
      <c r="S1106" s="140"/>
      <c r="T1106" s="18"/>
      <c r="U1106" s="8"/>
      <c r="V1106" s="18"/>
      <c r="W1106" s="8"/>
      <c r="X1106" s="18"/>
      <c r="Y1106" s="8"/>
      <c r="Z1106" s="18"/>
      <c r="AA1106" s="8"/>
      <c r="AB1106" s="18"/>
      <c r="AC1106" s="8"/>
      <c r="AD1106" s="18"/>
      <c r="AE1106" s="8"/>
      <c r="AF1106" s="18"/>
      <c r="AG1106" s="8"/>
      <c r="AH1106" s="7"/>
    </row>
    <row r="1107" spans="1:34" s="3" customFormat="1" ht="11.25" customHeight="1" x14ac:dyDescent="0.2">
      <c r="A1107" s="92" t="s">
        <v>174</v>
      </c>
      <c r="B1107" s="110">
        <v>25277.5</v>
      </c>
      <c r="C1107" s="113"/>
      <c r="D1107" s="58"/>
      <c r="E1107" s="52">
        <f t="shared" si="312"/>
        <v>25277.5</v>
      </c>
      <c r="F1107" s="138">
        <f t="shared" si="311"/>
        <v>25277.5</v>
      </c>
      <c r="G1107" s="146">
        <v>0</v>
      </c>
      <c r="H1107" s="142">
        <v>0</v>
      </c>
      <c r="I1107" s="146">
        <v>0</v>
      </c>
      <c r="J1107" s="160">
        <v>0</v>
      </c>
      <c r="K1107" s="146">
        <v>1430</v>
      </c>
      <c r="L1107" s="160">
        <v>0</v>
      </c>
      <c r="M1107" s="146">
        <v>1760</v>
      </c>
      <c r="N1107" s="160">
        <v>0</v>
      </c>
      <c r="O1107" s="146">
        <v>2177.5</v>
      </c>
      <c r="P1107" s="160">
        <v>0</v>
      </c>
      <c r="Q1107" s="146">
        <v>18923</v>
      </c>
      <c r="R1107" s="160">
        <v>987</v>
      </c>
      <c r="S1107" s="140"/>
      <c r="T1107" s="18"/>
      <c r="U1107" s="8"/>
      <c r="V1107" s="18"/>
      <c r="W1107" s="8"/>
      <c r="X1107" s="18"/>
      <c r="Y1107" s="8"/>
      <c r="Z1107" s="18"/>
      <c r="AA1107" s="8"/>
      <c r="AB1107" s="18"/>
      <c r="AC1107" s="8"/>
      <c r="AD1107" s="18"/>
      <c r="AE1107" s="8"/>
      <c r="AF1107" s="18"/>
      <c r="AG1107" s="8"/>
      <c r="AH1107" s="7"/>
    </row>
    <row r="1108" spans="1:34" s="3" customFormat="1" ht="11.25" customHeight="1" x14ac:dyDescent="0.15">
      <c r="A1108" s="59" t="s">
        <v>66</v>
      </c>
      <c r="B1108" s="110">
        <v>8226.02</v>
      </c>
      <c r="C1108" s="110"/>
      <c r="D1108" s="58"/>
      <c r="E1108" s="52">
        <f t="shared" si="312"/>
        <v>8226.02</v>
      </c>
      <c r="F1108" s="138">
        <f t="shared" si="311"/>
        <v>8226.02</v>
      </c>
      <c r="G1108" s="146">
        <v>0</v>
      </c>
      <c r="H1108" s="142">
        <v>0</v>
      </c>
      <c r="I1108" s="146">
        <v>0</v>
      </c>
      <c r="J1108" s="160">
        <v>0</v>
      </c>
      <c r="K1108" s="146">
        <v>6406</v>
      </c>
      <c r="L1108" s="160">
        <v>0</v>
      </c>
      <c r="M1108" s="146">
        <v>0</v>
      </c>
      <c r="N1108" s="160">
        <v>910.01</v>
      </c>
      <c r="O1108" s="160">
        <v>910.01</v>
      </c>
      <c r="P1108" s="160">
        <v>0</v>
      </c>
      <c r="Q1108" s="146">
        <v>0</v>
      </c>
      <c r="R1108" s="160">
        <v>0</v>
      </c>
      <c r="S1108" s="140"/>
      <c r="T1108" s="18"/>
      <c r="U1108" s="8"/>
      <c r="V1108" s="18"/>
      <c r="W1108" s="8"/>
      <c r="X1108" s="18"/>
      <c r="Y1108" s="8"/>
      <c r="Z1108" s="18"/>
      <c r="AA1108" s="8"/>
      <c r="AB1108" s="18"/>
      <c r="AC1108" s="8"/>
      <c r="AD1108" s="18"/>
      <c r="AE1108" s="8"/>
      <c r="AF1108" s="18"/>
      <c r="AG1108" s="8"/>
      <c r="AH1108" s="7"/>
    </row>
    <row r="1109" spans="1:34" s="3" customFormat="1" ht="11.25" customHeight="1" x14ac:dyDescent="0.2">
      <c r="A1109" s="92" t="s">
        <v>175</v>
      </c>
      <c r="B1109" s="110">
        <v>12711</v>
      </c>
      <c r="C1109" s="113"/>
      <c r="D1109" s="58"/>
      <c r="E1109" s="52">
        <f t="shared" si="312"/>
        <v>12711</v>
      </c>
      <c r="F1109" s="138">
        <f t="shared" si="311"/>
        <v>12711</v>
      </c>
      <c r="G1109" s="146">
        <v>0</v>
      </c>
      <c r="H1109" s="142">
        <v>0</v>
      </c>
      <c r="I1109" s="146">
        <v>0</v>
      </c>
      <c r="J1109" s="160">
        <v>0</v>
      </c>
      <c r="K1109" s="146">
        <v>11038</v>
      </c>
      <c r="L1109" s="160">
        <v>0</v>
      </c>
      <c r="M1109" s="146">
        <v>0</v>
      </c>
      <c r="N1109" s="160">
        <v>836.5</v>
      </c>
      <c r="O1109" s="146">
        <v>836.5</v>
      </c>
      <c r="P1109" s="160">
        <v>0</v>
      </c>
      <c r="Q1109" s="146">
        <v>0</v>
      </c>
      <c r="R1109" s="160">
        <v>0</v>
      </c>
      <c r="S1109" s="140"/>
      <c r="T1109" s="18"/>
      <c r="U1109" s="8"/>
      <c r="V1109" s="18"/>
      <c r="W1109" s="8"/>
      <c r="X1109" s="18"/>
      <c r="Y1109" s="8"/>
      <c r="Z1109" s="18"/>
      <c r="AA1109" s="8"/>
      <c r="AB1109" s="18"/>
      <c r="AC1109" s="8"/>
      <c r="AD1109" s="18"/>
      <c r="AE1109" s="8"/>
      <c r="AF1109" s="18"/>
      <c r="AG1109" s="8"/>
      <c r="AH1109" s="7"/>
    </row>
    <row r="1110" spans="1:34" s="3" customFormat="1" ht="11.25" customHeight="1" x14ac:dyDescent="0.2">
      <c r="A1110" s="92" t="s">
        <v>225</v>
      </c>
      <c r="B1110" s="110">
        <v>5626</v>
      </c>
      <c r="C1110" s="113"/>
      <c r="D1110" s="58"/>
      <c r="E1110" s="52">
        <f t="shared" ref="E1110" si="315">+B1110+C1110+D1110</f>
        <v>5626</v>
      </c>
      <c r="F1110" s="138">
        <f t="shared" ref="F1110" si="316">SUM(G1110:R1110)</f>
        <v>5626</v>
      </c>
      <c r="G1110" s="146">
        <v>0</v>
      </c>
      <c r="H1110" s="142">
        <v>0</v>
      </c>
      <c r="I1110" s="146">
        <v>0</v>
      </c>
      <c r="J1110" s="160">
        <v>0</v>
      </c>
      <c r="K1110" s="146">
        <v>0</v>
      </c>
      <c r="L1110" s="160">
        <v>5626</v>
      </c>
      <c r="M1110" s="146">
        <v>0</v>
      </c>
      <c r="N1110" s="160">
        <v>0</v>
      </c>
      <c r="O1110" s="146">
        <v>0</v>
      </c>
      <c r="P1110" s="160">
        <v>0</v>
      </c>
      <c r="Q1110" s="146">
        <v>0</v>
      </c>
      <c r="R1110" s="160">
        <v>0</v>
      </c>
      <c r="S1110" s="140"/>
      <c r="T1110" s="18"/>
      <c r="U1110" s="8"/>
      <c r="V1110" s="18"/>
      <c r="W1110" s="8"/>
      <c r="X1110" s="18"/>
      <c r="Y1110" s="8"/>
      <c r="Z1110" s="18"/>
      <c r="AA1110" s="8"/>
      <c r="AB1110" s="18"/>
      <c r="AC1110" s="8"/>
      <c r="AD1110" s="18"/>
      <c r="AE1110" s="8"/>
      <c r="AF1110" s="18"/>
      <c r="AG1110" s="8"/>
      <c r="AH1110" s="7"/>
    </row>
    <row r="1111" spans="1:34" s="3" customFormat="1" ht="11.25" customHeight="1" x14ac:dyDescent="0.15">
      <c r="A1111" s="92" t="s">
        <v>176</v>
      </c>
      <c r="B1111" s="110">
        <v>19600</v>
      </c>
      <c r="C1111" s="110"/>
      <c r="D1111" s="58"/>
      <c r="E1111" s="52">
        <f t="shared" si="312"/>
        <v>19600</v>
      </c>
      <c r="F1111" s="138">
        <f t="shared" si="311"/>
        <v>19600</v>
      </c>
      <c r="G1111" s="146">
        <v>0</v>
      </c>
      <c r="H1111" s="142">
        <v>0</v>
      </c>
      <c r="I1111" s="146">
        <v>0</v>
      </c>
      <c r="J1111" s="160">
        <v>0</v>
      </c>
      <c r="K1111" s="146">
        <f>20000-400</f>
        <v>19600</v>
      </c>
      <c r="L1111" s="160">
        <v>0</v>
      </c>
      <c r="M1111" s="146">
        <v>0</v>
      </c>
      <c r="N1111" s="160">
        <v>0</v>
      </c>
      <c r="O1111" s="146">
        <v>0</v>
      </c>
      <c r="P1111" s="160">
        <v>0</v>
      </c>
      <c r="Q1111" s="146">
        <v>0</v>
      </c>
      <c r="R1111" s="160">
        <v>0</v>
      </c>
      <c r="S1111" s="140"/>
      <c r="T1111" s="18"/>
      <c r="U1111" s="8"/>
      <c r="V1111" s="18"/>
      <c r="W1111" s="8"/>
      <c r="X1111" s="18"/>
      <c r="Y1111" s="8"/>
      <c r="Z1111" s="18"/>
      <c r="AA1111" s="8"/>
      <c r="AB1111" s="18"/>
      <c r="AC1111" s="8"/>
      <c r="AD1111" s="18"/>
      <c r="AE1111" s="8"/>
      <c r="AF1111" s="18"/>
      <c r="AG1111" s="8"/>
      <c r="AH1111" s="7"/>
    </row>
    <row r="1112" spans="1:34" x14ac:dyDescent="0.25">
      <c r="A1112" s="59" t="s">
        <v>91</v>
      </c>
      <c r="B1112" s="112">
        <v>3683.41</v>
      </c>
      <c r="C1112" s="114"/>
      <c r="D1112" s="58"/>
      <c r="E1112" s="52">
        <f t="shared" si="312"/>
        <v>3683.41</v>
      </c>
      <c r="F1112" s="138">
        <f t="shared" si="311"/>
        <v>3683.41</v>
      </c>
      <c r="G1112" s="138">
        <v>0</v>
      </c>
      <c r="H1112" s="138">
        <v>0</v>
      </c>
      <c r="I1112" s="138">
        <v>0</v>
      </c>
      <c r="J1112" s="138">
        <v>0</v>
      </c>
      <c r="K1112" s="138">
        <v>0</v>
      </c>
      <c r="L1112" s="138">
        <v>0</v>
      </c>
      <c r="M1112" s="138">
        <v>0</v>
      </c>
      <c r="N1112" s="138">
        <v>0</v>
      </c>
      <c r="O1112" s="138">
        <v>3683.41</v>
      </c>
      <c r="P1112" s="138">
        <v>0</v>
      </c>
      <c r="Q1112" s="138">
        <v>0</v>
      </c>
      <c r="R1112" s="138">
        <v>0</v>
      </c>
      <c r="S1112" s="137"/>
    </row>
    <row r="1113" spans="1:34" x14ac:dyDescent="0.25">
      <c r="A1113" s="59" t="s">
        <v>102</v>
      </c>
      <c r="B1113" s="110">
        <v>182534.45</v>
      </c>
      <c r="C1113" s="110"/>
      <c r="D1113" s="58"/>
      <c r="E1113" s="52">
        <f t="shared" si="312"/>
        <v>182534.45</v>
      </c>
      <c r="F1113" s="138">
        <f t="shared" si="311"/>
        <v>182534.45</v>
      </c>
      <c r="G1113" s="138">
        <v>0</v>
      </c>
      <c r="H1113" s="138">
        <v>0</v>
      </c>
      <c r="I1113" s="138">
        <v>0</v>
      </c>
      <c r="J1113" s="138">
        <v>0</v>
      </c>
      <c r="K1113" s="138">
        <f>62500-48077.55</f>
        <v>14422.449999999997</v>
      </c>
      <c r="L1113" s="138">
        <v>5000</v>
      </c>
      <c r="M1113" s="138">
        <v>0</v>
      </c>
      <c r="N1113" s="138">
        <v>0</v>
      </c>
      <c r="O1113" s="138">
        <v>0</v>
      </c>
      <c r="P1113" s="138">
        <v>87500</v>
      </c>
      <c r="Q1113" s="138">
        <v>75612</v>
      </c>
      <c r="R1113" s="138">
        <v>0</v>
      </c>
      <c r="S1113" s="137"/>
    </row>
    <row r="1114" spans="1:34" x14ac:dyDescent="0.25">
      <c r="A1114" s="59" t="s">
        <v>62</v>
      </c>
      <c r="B1114" s="112">
        <v>117284.95999999999</v>
      </c>
      <c r="C1114" s="110"/>
      <c r="D1114" s="58"/>
      <c r="E1114" s="52">
        <f t="shared" si="312"/>
        <v>117284.95999999999</v>
      </c>
      <c r="F1114" s="138">
        <f t="shared" si="311"/>
        <v>117284.95999999999</v>
      </c>
      <c r="G1114" s="138">
        <v>0</v>
      </c>
      <c r="H1114" s="138">
        <v>0</v>
      </c>
      <c r="I1114" s="138">
        <v>0</v>
      </c>
      <c r="J1114" s="138">
        <v>21455.56</v>
      </c>
      <c r="K1114" s="138">
        <f>105819.4-60200-4000</f>
        <v>41619.399999999994</v>
      </c>
      <c r="L1114" s="138">
        <v>0</v>
      </c>
      <c r="M1114" s="138">
        <v>0</v>
      </c>
      <c r="N1114" s="138">
        <v>0</v>
      </c>
      <c r="O1114" s="138">
        <v>0</v>
      </c>
      <c r="P1114" s="138">
        <v>0</v>
      </c>
      <c r="Q1114" s="138">
        <v>54210</v>
      </c>
      <c r="R1114" s="138">
        <v>0</v>
      </c>
      <c r="S1114" s="137"/>
    </row>
    <row r="1115" spans="1:34" x14ac:dyDescent="0.25">
      <c r="A1115" s="59" t="s">
        <v>10</v>
      </c>
      <c r="B1115" s="112">
        <v>573396.47999999998</v>
      </c>
      <c r="C1115" s="110"/>
      <c r="D1115" s="58"/>
      <c r="E1115" s="52">
        <f t="shared" si="312"/>
        <v>573396.47999999998</v>
      </c>
      <c r="F1115" s="138">
        <f t="shared" si="311"/>
        <v>573396.47999999998</v>
      </c>
      <c r="G1115" s="138">
        <v>0</v>
      </c>
      <c r="H1115" s="138">
        <v>0</v>
      </c>
      <c r="I1115" s="138">
        <v>0</v>
      </c>
      <c r="J1115" s="138">
        <v>6900.48</v>
      </c>
      <c r="K1115" s="138">
        <v>40464</v>
      </c>
      <c r="L1115" s="138">
        <v>65754</v>
      </c>
      <c r="M1115" s="138">
        <v>131508</v>
      </c>
      <c r="N1115" s="138">
        <v>65754</v>
      </c>
      <c r="O1115" s="138">
        <v>65754</v>
      </c>
      <c r="P1115" s="138">
        <v>65754</v>
      </c>
      <c r="Q1115" s="138">
        <v>65754</v>
      </c>
      <c r="R1115" s="138">
        <v>65754</v>
      </c>
      <c r="S1115" s="137"/>
    </row>
    <row r="1116" spans="1:34" x14ac:dyDescent="0.25">
      <c r="A1116" s="59" t="s">
        <v>231</v>
      </c>
      <c r="B1116" s="112">
        <v>35561.86</v>
      </c>
      <c r="C1116" s="110"/>
      <c r="D1116" s="58"/>
      <c r="E1116" s="52">
        <f t="shared" ref="E1116" si="317">+B1116+C1116+D1116</f>
        <v>35561.86</v>
      </c>
      <c r="F1116" s="138">
        <f t="shared" ref="F1116" si="318">SUM(G1116:R1116)</f>
        <v>35561.86</v>
      </c>
      <c r="G1116" s="138">
        <v>0</v>
      </c>
      <c r="H1116" s="138">
        <v>0</v>
      </c>
      <c r="I1116" s="138">
        <v>0</v>
      </c>
      <c r="J1116" s="138">
        <f>20104.2-2157.58</f>
        <v>17946.620000000003</v>
      </c>
      <c r="K1116" s="138">
        <v>2882.08</v>
      </c>
      <c r="L1116" s="138">
        <v>842.16</v>
      </c>
      <c r="M1116" s="138">
        <v>12226.4</v>
      </c>
      <c r="N1116" s="138">
        <v>742.4</v>
      </c>
      <c r="O1116" s="138">
        <v>922.2</v>
      </c>
      <c r="P1116" s="138">
        <v>0</v>
      </c>
      <c r="Q1116" s="138">
        <v>0</v>
      </c>
      <c r="R1116" s="138">
        <v>0</v>
      </c>
      <c r="S1116" s="137"/>
    </row>
    <row r="1117" spans="1:34" x14ac:dyDescent="0.25">
      <c r="A1117" s="87" t="s">
        <v>68</v>
      </c>
      <c r="B1117" s="111">
        <v>46816.800000000003</v>
      </c>
      <c r="C1117" s="96"/>
      <c r="D1117" s="58"/>
      <c r="E1117" s="52">
        <f t="shared" si="312"/>
        <v>46816.800000000003</v>
      </c>
      <c r="F1117" s="138">
        <f t="shared" si="311"/>
        <v>46816.800000000003</v>
      </c>
      <c r="G1117" s="138">
        <v>0</v>
      </c>
      <c r="H1117" s="138">
        <v>0</v>
      </c>
      <c r="I1117" s="138">
        <v>0</v>
      </c>
      <c r="J1117" s="138">
        <v>0</v>
      </c>
      <c r="K1117" s="138">
        <f>59800-11278-1705.2</f>
        <v>46816.800000000003</v>
      </c>
      <c r="L1117" s="138">
        <v>0</v>
      </c>
      <c r="M1117" s="138">
        <v>0</v>
      </c>
      <c r="N1117" s="138">
        <v>0</v>
      </c>
      <c r="O1117" s="138">
        <v>0</v>
      </c>
      <c r="P1117" s="138">
        <v>0</v>
      </c>
      <c r="Q1117" s="138">
        <v>0</v>
      </c>
      <c r="R1117" s="138">
        <v>0</v>
      </c>
      <c r="S1117" s="137"/>
    </row>
    <row r="1118" spans="1:34" x14ac:dyDescent="0.25">
      <c r="A1118" s="59" t="s">
        <v>93</v>
      </c>
      <c r="B1118" s="112">
        <v>7992</v>
      </c>
      <c r="C1118" s="96"/>
      <c r="D1118" s="58"/>
      <c r="E1118" s="52">
        <f t="shared" si="312"/>
        <v>7992</v>
      </c>
      <c r="F1118" s="138">
        <f t="shared" si="311"/>
        <v>7992</v>
      </c>
      <c r="G1118" s="138">
        <v>0</v>
      </c>
      <c r="H1118" s="138">
        <v>0</v>
      </c>
      <c r="I1118" s="138">
        <v>0</v>
      </c>
      <c r="J1118" s="138">
        <v>0</v>
      </c>
      <c r="K1118" s="138">
        <v>7992</v>
      </c>
      <c r="L1118" s="138">
        <v>0</v>
      </c>
      <c r="M1118" s="138">
        <v>0</v>
      </c>
      <c r="N1118" s="138">
        <v>0</v>
      </c>
      <c r="O1118" s="138">
        <v>0</v>
      </c>
      <c r="P1118" s="138">
        <v>0</v>
      </c>
      <c r="Q1118" s="138">
        <v>0</v>
      </c>
      <c r="R1118" s="138">
        <v>0</v>
      </c>
      <c r="S1118" s="137"/>
    </row>
    <row r="1119" spans="1:34" x14ac:dyDescent="0.25">
      <c r="A1119" s="59" t="s">
        <v>12</v>
      </c>
      <c r="B1119" s="112">
        <v>4441</v>
      </c>
      <c r="C1119" s="96"/>
      <c r="D1119" s="58"/>
      <c r="E1119" s="52">
        <f t="shared" si="312"/>
        <v>4441</v>
      </c>
      <c r="F1119" s="138">
        <f t="shared" si="311"/>
        <v>4441</v>
      </c>
      <c r="G1119" s="138">
        <v>0</v>
      </c>
      <c r="H1119" s="138">
        <v>0</v>
      </c>
      <c r="I1119" s="138">
        <v>0</v>
      </c>
      <c r="J1119" s="138">
        <v>0</v>
      </c>
      <c r="K1119" s="138">
        <v>4441</v>
      </c>
      <c r="L1119" s="138">
        <v>0</v>
      </c>
      <c r="M1119" s="138">
        <v>0</v>
      </c>
      <c r="N1119" s="138">
        <v>0</v>
      </c>
      <c r="O1119" s="138">
        <v>0</v>
      </c>
      <c r="P1119" s="138">
        <v>0</v>
      </c>
      <c r="Q1119" s="138">
        <v>0</v>
      </c>
      <c r="R1119" s="138">
        <v>0</v>
      </c>
      <c r="S1119" s="137"/>
    </row>
    <row r="1120" spans="1:34" x14ac:dyDescent="0.25">
      <c r="A1120" s="59" t="s">
        <v>172</v>
      </c>
      <c r="B1120" s="112">
        <v>1331.8400000000001</v>
      </c>
      <c r="C1120" s="96"/>
      <c r="D1120" s="58"/>
      <c r="E1120" s="52">
        <f t="shared" si="312"/>
        <v>1331.8400000000001</v>
      </c>
      <c r="F1120" s="138">
        <f t="shared" si="311"/>
        <v>1331.8400000000001</v>
      </c>
      <c r="G1120" s="138">
        <v>0</v>
      </c>
      <c r="H1120" s="138">
        <v>0</v>
      </c>
      <c r="I1120" s="138">
        <v>0</v>
      </c>
      <c r="J1120" s="138">
        <v>655.4</v>
      </c>
      <c r="K1120" s="138">
        <v>676.44</v>
      </c>
      <c r="L1120" s="138">
        <v>0</v>
      </c>
      <c r="M1120" s="138">
        <v>0</v>
      </c>
      <c r="N1120" s="138">
        <v>0</v>
      </c>
      <c r="O1120" s="138">
        <v>0</v>
      </c>
      <c r="P1120" s="138">
        <v>0</v>
      </c>
      <c r="Q1120" s="138">
        <v>0</v>
      </c>
      <c r="R1120" s="138">
        <v>0</v>
      </c>
      <c r="S1120" s="137"/>
    </row>
    <row r="1121" spans="1:37" x14ac:dyDescent="0.25">
      <c r="A1121" s="92" t="s">
        <v>177</v>
      </c>
      <c r="B1121" s="111">
        <v>53213.65</v>
      </c>
      <c r="C1121" s="96"/>
      <c r="D1121" s="58"/>
      <c r="E1121" s="52">
        <f t="shared" si="312"/>
        <v>53213.65</v>
      </c>
      <c r="F1121" s="138">
        <f t="shared" si="311"/>
        <v>53213.65</v>
      </c>
      <c r="G1121" s="138">
        <v>0</v>
      </c>
      <c r="H1121" s="138">
        <v>0</v>
      </c>
      <c r="I1121" s="138">
        <v>0</v>
      </c>
      <c r="J1121" s="138">
        <v>6542.4</v>
      </c>
      <c r="K1121" s="138">
        <v>22565.24</v>
      </c>
      <c r="L1121" s="138">
        <v>1206.4000000000001</v>
      </c>
      <c r="M1121" s="138">
        <v>14074.28</v>
      </c>
      <c r="N1121" s="138">
        <v>7530.89</v>
      </c>
      <c r="O1121" s="138">
        <v>1294.44</v>
      </c>
      <c r="P1121" s="138">
        <v>0</v>
      </c>
      <c r="Q1121" s="138">
        <v>0</v>
      </c>
      <c r="R1121" s="138">
        <v>0</v>
      </c>
      <c r="S1121" s="137"/>
    </row>
    <row r="1122" spans="1:37" x14ac:dyDescent="0.25">
      <c r="A1122" s="9"/>
      <c r="B1122" s="40"/>
      <c r="C1122" s="49"/>
      <c r="D1122" s="40"/>
      <c r="E1122" s="51"/>
      <c r="F1122" s="138" t="s">
        <v>75</v>
      </c>
      <c r="G1122" s="138" t="s">
        <v>75</v>
      </c>
      <c r="H1122" s="138" t="s">
        <v>75</v>
      </c>
      <c r="I1122" s="138" t="s">
        <v>75</v>
      </c>
      <c r="J1122" s="138" t="s">
        <v>75</v>
      </c>
      <c r="K1122" s="138" t="s">
        <v>75</v>
      </c>
      <c r="L1122" s="138" t="s">
        <v>75</v>
      </c>
      <c r="M1122" s="138" t="s">
        <v>75</v>
      </c>
      <c r="N1122" s="138" t="s">
        <v>75</v>
      </c>
      <c r="O1122" s="138" t="s">
        <v>75</v>
      </c>
      <c r="P1122" s="138" t="s">
        <v>75</v>
      </c>
      <c r="Q1122" s="138" t="s">
        <v>75</v>
      </c>
      <c r="R1122" s="138" t="s">
        <v>75</v>
      </c>
      <c r="S1122" s="137" t="s">
        <v>75</v>
      </c>
    </row>
    <row r="1123" spans="1:37" ht="18.75" x14ac:dyDescent="0.4">
      <c r="A1123" s="32" t="s">
        <v>111</v>
      </c>
      <c r="B1123" s="40"/>
      <c r="C1123" s="40"/>
      <c r="D1123" s="40"/>
      <c r="E1123" s="51"/>
      <c r="F1123" s="138"/>
      <c r="G1123" s="138" t="s">
        <v>75</v>
      </c>
      <c r="H1123" s="138"/>
      <c r="I1123" s="138"/>
      <c r="J1123" s="138"/>
      <c r="K1123" s="138"/>
      <c r="L1123" s="138"/>
      <c r="M1123" s="138"/>
      <c r="N1123" s="138"/>
      <c r="O1123" s="138"/>
      <c r="P1123" s="138"/>
      <c r="Q1123" s="138"/>
      <c r="R1123" s="138"/>
      <c r="S1123" s="137"/>
    </row>
    <row r="1124" spans="1:37" x14ac:dyDescent="0.25">
      <c r="A1124" s="59"/>
      <c r="B1124" s="58"/>
      <c r="C1124" s="58"/>
      <c r="D1124" s="58"/>
      <c r="E1124" s="58">
        <f t="shared" ref="E1124:E1125" si="319">+B1124+C1124+D1124</f>
        <v>0</v>
      </c>
      <c r="F1124" s="138">
        <f t="shared" ref="F1124:F1125" si="320">SUM(G1124:R1124)</f>
        <v>0</v>
      </c>
      <c r="G1124" s="138" t="s">
        <v>75</v>
      </c>
      <c r="H1124" s="138"/>
      <c r="I1124" s="138"/>
      <c r="J1124" s="138"/>
      <c r="K1124" s="138"/>
      <c r="L1124" s="138"/>
      <c r="M1124" s="138"/>
      <c r="N1124" s="138"/>
      <c r="O1124" s="138"/>
      <c r="P1124" s="138"/>
      <c r="Q1124" s="138"/>
      <c r="R1124" s="138"/>
      <c r="S1124" s="137"/>
    </row>
    <row r="1125" spans="1:37" x14ac:dyDescent="0.25">
      <c r="A1125" s="59"/>
      <c r="B1125" s="58"/>
      <c r="C1125" s="58"/>
      <c r="D1125" s="58"/>
      <c r="E1125" s="58">
        <f t="shared" si="319"/>
        <v>0</v>
      </c>
      <c r="F1125" s="138">
        <f t="shared" si="320"/>
        <v>0</v>
      </c>
      <c r="G1125" s="138" t="s">
        <v>75</v>
      </c>
      <c r="H1125" s="138"/>
      <c r="I1125" s="138"/>
      <c r="J1125" s="138"/>
      <c r="K1125" s="138"/>
      <c r="L1125" s="138"/>
      <c r="M1125" s="138"/>
      <c r="N1125" s="138"/>
      <c r="O1125" s="138"/>
      <c r="P1125" s="138"/>
      <c r="Q1125" s="138"/>
      <c r="R1125" s="138"/>
      <c r="S1125" s="137"/>
    </row>
    <row r="1126" spans="1:37" ht="18.75" x14ac:dyDescent="0.4">
      <c r="A1126" s="32" t="s">
        <v>112</v>
      </c>
      <c r="B1126" s="40"/>
      <c r="C1126" s="40"/>
      <c r="D1126" s="40"/>
      <c r="E1126" s="51"/>
      <c r="F1126" s="138"/>
      <c r="G1126" s="138" t="s">
        <v>75</v>
      </c>
      <c r="H1126" s="138"/>
      <c r="I1126" s="138"/>
      <c r="J1126" s="138"/>
      <c r="K1126" s="138"/>
      <c r="L1126" s="138"/>
      <c r="M1126" s="138"/>
      <c r="N1126" s="138"/>
      <c r="O1126" s="138"/>
      <c r="P1126" s="138"/>
      <c r="Q1126" s="138"/>
      <c r="R1126" s="138"/>
      <c r="S1126" s="137"/>
    </row>
    <row r="1127" spans="1:37" x14ac:dyDescent="0.25">
      <c r="A1127" s="60" t="s">
        <v>157</v>
      </c>
      <c r="B1127" s="58">
        <v>100920</v>
      </c>
      <c r="C1127" s="58">
        <v>0</v>
      </c>
      <c r="D1127" s="58"/>
      <c r="E1127" s="58">
        <f t="shared" ref="E1127:E1128" si="321">+B1127+C1127+D1127</f>
        <v>100920</v>
      </c>
      <c r="F1127" s="138">
        <f t="shared" ref="F1127:F1128" si="322">SUM(G1127:R1127)</f>
        <v>0</v>
      </c>
      <c r="G1127" s="138"/>
      <c r="H1127" s="138"/>
      <c r="I1127" s="138"/>
      <c r="J1127" s="138"/>
      <c r="K1127" s="138"/>
      <c r="L1127" s="138"/>
      <c r="M1127" s="138"/>
      <c r="N1127" s="138"/>
      <c r="O1127" s="138"/>
      <c r="P1127" s="138"/>
      <c r="Q1127" s="138"/>
      <c r="R1127" s="138"/>
      <c r="S1127" s="137"/>
    </row>
    <row r="1128" spans="1:37" x14ac:dyDescent="0.25">
      <c r="A1128" s="60" t="s">
        <v>75</v>
      </c>
      <c r="B1128" s="61">
        <v>0</v>
      </c>
      <c r="C1128" s="58"/>
      <c r="D1128" s="58"/>
      <c r="E1128" s="58">
        <f t="shared" si="321"/>
        <v>0</v>
      </c>
      <c r="F1128" s="138">
        <f t="shared" si="322"/>
        <v>0</v>
      </c>
      <c r="G1128" s="138"/>
      <c r="H1128" s="138"/>
      <c r="I1128" s="138"/>
      <c r="J1128" s="138"/>
      <c r="K1128" s="138"/>
      <c r="L1128" s="138"/>
      <c r="M1128" s="138"/>
      <c r="N1128" s="138"/>
      <c r="O1128" s="138"/>
      <c r="P1128" s="138"/>
      <c r="Q1128" s="138"/>
      <c r="R1128" s="138"/>
      <c r="S1128" s="137"/>
    </row>
    <row r="1129" spans="1:37" ht="18.75" x14ac:dyDescent="0.4">
      <c r="A1129" s="34" t="s">
        <v>113</v>
      </c>
      <c r="B1129" s="40"/>
      <c r="C1129" s="40"/>
      <c r="D1129" s="40"/>
      <c r="E1129" s="51"/>
      <c r="F1129" s="138"/>
      <c r="G1129" s="138"/>
      <c r="H1129" s="138"/>
      <c r="I1129" s="138"/>
      <c r="J1129" s="138"/>
      <c r="K1129" s="138"/>
      <c r="L1129" s="138"/>
      <c r="M1129" s="138"/>
      <c r="N1129" s="138"/>
      <c r="O1129" s="138"/>
      <c r="P1129" s="138"/>
      <c r="Q1129" s="138"/>
      <c r="R1129" s="138"/>
      <c r="S1129" s="137"/>
    </row>
    <row r="1130" spans="1:37" x14ac:dyDescent="0.25">
      <c r="A1130" s="59" t="s">
        <v>75</v>
      </c>
      <c r="B1130" s="58">
        <v>0</v>
      </c>
      <c r="C1130" s="98">
        <v>0</v>
      </c>
      <c r="D1130" s="58"/>
      <c r="E1130" s="58">
        <f>+B1130+C1130+D1130</f>
        <v>0</v>
      </c>
      <c r="F1130" s="138"/>
      <c r="G1130" s="138"/>
      <c r="H1130" s="138"/>
      <c r="I1130" s="138"/>
      <c r="J1130" s="138"/>
      <c r="K1130" s="138"/>
      <c r="L1130" s="138"/>
      <c r="M1130" s="138"/>
      <c r="N1130" s="138"/>
      <c r="O1130" s="138"/>
      <c r="P1130" s="138"/>
      <c r="Q1130" s="138"/>
      <c r="R1130" s="138"/>
      <c r="S1130" s="137"/>
    </row>
    <row r="1131" spans="1:37" s="3" customFormat="1" ht="11.25" customHeight="1" x14ac:dyDescent="0.25">
      <c r="A1131"/>
      <c r="B1131"/>
      <c r="C1131"/>
      <c r="D1131"/>
      <c r="E1131"/>
      <c r="F1131" s="138"/>
      <c r="G1131" s="146"/>
      <c r="H1131" s="142"/>
      <c r="I1131" s="146"/>
      <c r="J1131" s="160"/>
      <c r="K1131" s="146"/>
      <c r="L1131" s="160"/>
      <c r="M1131" s="146"/>
      <c r="N1131" s="160"/>
      <c r="O1131" s="146"/>
      <c r="P1131" s="160"/>
      <c r="Q1131" s="146"/>
      <c r="R1131" s="160"/>
      <c r="S1131" s="140"/>
      <c r="T1131" s="18"/>
      <c r="U1131" s="8"/>
      <c r="V1131" s="18"/>
      <c r="W1131" s="8"/>
      <c r="X1131" s="18"/>
      <c r="Y1131" s="8"/>
      <c r="Z1131" s="18"/>
      <c r="AA1131" s="8"/>
      <c r="AB1131" s="18"/>
      <c r="AC1131" s="8"/>
      <c r="AD1131" s="18"/>
      <c r="AE1131" s="8"/>
      <c r="AF1131" s="18"/>
      <c r="AG1131" s="8"/>
      <c r="AH1131" s="7"/>
      <c r="AK1131" s="10"/>
    </row>
    <row r="1132" spans="1:37" s="3" customFormat="1" ht="11.25" customHeight="1" x14ac:dyDescent="0.25">
      <c r="A1132"/>
      <c r="B1132"/>
      <c r="C1132"/>
      <c r="D1132"/>
      <c r="E1132"/>
      <c r="F1132" s="138"/>
      <c r="G1132" s="146"/>
      <c r="H1132" s="142"/>
      <c r="I1132" s="146"/>
      <c r="J1132" s="160"/>
      <c r="K1132" s="146"/>
      <c r="L1132" s="160"/>
      <c r="M1132" s="146"/>
      <c r="N1132" s="160"/>
      <c r="O1132" s="146"/>
      <c r="P1132" s="160"/>
      <c r="Q1132" s="146"/>
      <c r="R1132" s="160"/>
      <c r="S1132" s="140"/>
      <c r="T1132" s="18"/>
      <c r="U1132" s="8"/>
      <c r="V1132" s="18"/>
      <c r="W1132" s="8"/>
      <c r="X1132" s="18"/>
      <c r="Y1132" s="8"/>
      <c r="Z1132" s="18"/>
      <c r="AA1132" s="8"/>
      <c r="AB1132" s="18"/>
      <c r="AC1132" s="8"/>
      <c r="AD1132" s="18"/>
      <c r="AE1132" s="8"/>
      <c r="AF1132" s="18"/>
      <c r="AG1132" s="8"/>
      <c r="AH1132" s="7"/>
    </row>
    <row r="1133" spans="1:37" s="3" customFormat="1" ht="11.25" customHeight="1" x14ac:dyDescent="0.25">
      <c r="A1133"/>
      <c r="B1133"/>
      <c r="C1133"/>
      <c r="D1133"/>
      <c r="E1133"/>
      <c r="F1133" s="138"/>
      <c r="G1133" s="146"/>
      <c r="H1133" s="142"/>
      <c r="I1133" s="146"/>
      <c r="J1133" s="160"/>
      <c r="K1133" s="146"/>
      <c r="L1133" s="160"/>
      <c r="M1133" s="146"/>
      <c r="N1133" s="160"/>
      <c r="O1133" s="146"/>
      <c r="P1133" s="160"/>
      <c r="Q1133" s="146"/>
      <c r="R1133" s="160"/>
      <c r="S1133" s="140"/>
      <c r="T1133" s="18"/>
      <c r="U1133" s="8"/>
      <c r="V1133" s="18"/>
      <c r="W1133" s="8"/>
      <c r="X1133" s="18"/>
      <c r="Y1133" s="8"/>
      <c r="Z1133" s="18"/>
      <c r="AA1133" s="8"/>
      <c r="AB1133" s="18"/>
      <c r="AC1133" s="8"/>
      <c r="AD1133" s="18"/>
      <c r="AE1133" s="8"/>
      <c r="AF1133" s="18"/>
      <c r="AG1133" s="8"/>
      <c r="AH1133" s="7"/>
    </row>
    <row r="1134" spans="1:37" s="3" customFormat="1" ht="11.25" customHeight="1" x14ac:dyDescent="0.25">
      <c r="A1134"/>
      <c r="B1134"/>
      <c r="C1134"/>
      <c r="D1134"/>
      <c r="E1134"/>
      <c r="F1134" s="138"/>
      <c r="G1134" s="146"/>
      <c r="H1134" s="142"/>
      <c r="I1134" s="146"/>
      <c r="J1134" s="160"/>
      <c r="K1134" s="142"/>
      <c r="L1134" s="160"/>
      <c r="M1134" s="142"/>
      <c r="N1134" s="160"/>
      <c r="O1134" s="142"/>
      <c r="P1134" s="160"/>
      <c r="Q1134" s="142"/>
      <c r="R1134" s="160"/>
      <c r="S1134" s="147"/>
      <c r="T1134" s="18"/>
      <c r="U1134" s="11"/>
      <c r="V1134" s="18"/>
      <c r="W1134" s="11"/>
      <c r="X1134" s="18"/>
      <c r="Y1134" s="11"/>
      <c r="Z1134" s="18"/>
      <c r="AA1134" s="11"/>
      <c r="AB1134" s="18"/>
      <c r="AC1134" s="11"/>
      <c r="AD1134" s="18"/>
      <c r="AE1134" s="11"/>
      <c r="AF1134" s="18"/>
      <c r="AG1134" s="11"/>
      <c r="AH1134" s="9"/>
    </row>
    <row r="1135" spans="1:37" x14ac:dyDescent="0.25">
      <c r="A1135" t="s">
        <v>189</v>
      </c>
      <c r="B1135" s="36">
        <f>+B8+B62+B121+B160+B234+B253+B286+B306+B332+B352+B378+B404+B434+B453+B476+B491+B516+B539+B564+B587+B610+B635+B687+B736+B788+B818+B862+B892+B925+B968+B1009+B1047+B1102</f>
        <v>29028777.760000009</v>
      </c>
      <c r="C1135" s="36">
        <f t="shared" ref="C1135:E1135" si="323">+C8+C62+C121+C160+C234+C253+C286+C306+C332+C352+C378+C404+C434+C453+C476+C491+C516+C539+C564+C587+C610+C635+C687+C736+C788+C818+C862+C892+C925+C968+C1009+C1047+C1102</f>
        <v>34006903.350000001</v>
      </c>
      <c r="D1135" s="36">
        <f t="shared" si="323"/>
        <v>198363836.37000003</v>
      </c>
      <c r="E1135" s="36">
        <f t="shared" si="323"/>
        <v>261399517.48000008</v>
      </c>
      <c r="F1135" s="138"/>
      <c r="G1135" s="138"/>
      <c r="H1135" s="138"/>
      <c r="I1135" s="138"/>
      <c r="J1135" s="138"/>
      <c r="K1135" s="138"/>
      <c r="L1135" s="138"/>
      <c r="M1135" s="138"/>
      <c r="N1135" s="138"/>
      <c r="O1135" s="138"/>
      <c r="P1135" s="138"/>
      <c r="Q1135" s="138"/>
      <c r="R1135" s="138"/>
      <c r="S1135" s="137"/>
    </row>
    <row r="1136" spans="1:37" x14ac:dyDescent="0.25">
      <c r="A1136" t="s">
        <v>188</v>
      </c>
      <c r="B1136" s="94">
        <v>40147896.629999988</v>
      </c>
      <c r="C1136"/>
      <c r="D1136"/>
      <c r="E1136"/>
      <c r="F1136" s="138"/>
      <c r="G1136" s="138"/>
      <c r="H1136" s="138"/>
      <c r="I1136" s="138"/>
      <c r="J1136" s="138"/>
      <c r="K1136" s="138"/>
      <c r="L1136" s="138"/>
      <c r="M1136" s="138"/>
      <c r="N1136" s="138"/>
      <c r="O1136" s="138"/>
      <c r="P1136" s="138"/>
      <c r="Q1136" s="138"/>
      <c r="R1136" s="138"/>
      <c r="S1136" s="137"/>
    </row>
    <row r="1137" spans="2:19" x14ac:dyDescent="0.25">
      <c r="B1137" s="133">
        <f>+B1135-B1136</f>
        <v>-11119118.869999979</v>
      </c>
      <c r="C1137" t="s">
        <v>182</v>
      </c>
      <c r="D1137"/>
      <c r="E1137" s="36">
        <f>+B862</f>
        <v>0</v>
      </c>
      <c r="F1137" s="138"/>
      <c r="G1137" s="138"/>
      <c r="H1137" s="138"/>
      <c r="I1137" s="138"/>
      <c r="J1137" s="138"/>
      <c r="K1137" s="138"/>
      <c r="L1137" s="138"/>
      <c r="M1137" s="138"/>
      <c r="N1137" s="138"/>
      <c r="O1137" s="138"/>
      <c r="P1137" s="138"/>
      <c r="Q1137" s="138"/>
      <c r="R1137" s="138"/>
      <c r="S1137" s="137"/>
    </row>
    <row r="1138" spans="2:19" x14ac:dyDescent="0.25">
      <c r="E1138" s="36" t="s">
        <v>75</v>
      </c>
      <c r="F1138" s="138"/>
      <c r="G1138" s="138"/>
      <c r="H1138" s="138"/>
      <c r="I1138" s="138"/>
      <c r="J1138" s="138"/>
      <c r="K1138" s="138"/>
      <c r="L1138" s="138"/>
      <c r="M1138" s="138"/>
      <c r="N1138" s="138"/>
      <c r="O1138" s="138"/>
      <c r="P1138" s="138"/>
      <c r="Q1138" s="138"/>
      <c r="R1138" s="138"/>
      <c r="S1138" s="137"/>
    </row>
    <row r="1139" spans="2:19" x14ac:dyDescent="0.25">
      <c r="F1139" s="138"/>
      <c r="G1139" s="138"/>
      <c r="H1139" s="138"/>
      <c r="I1139" s="138"/>
      <c r="J1139" s="138"/>
      <c r="K1139" s="138"/>
      <c r="L1139" s="138"/>
      <c r="M1139" s="138"/>
      <c r="N1139" s="138"/>
      <c r="O1139" s="138"/>
      <c r="P1139" s="138"/>
      <c r="Q1139" s="138"/>
      <c r="R1139" s="138"/>
      <c r="S1139" s="137"/>
    </row>
    <row r="1140" spans="2:19" x14ac:dyDescent="0.25">
      <c r="F1140" s="138"/>
      <c r="G1140" s="138"/>
      <c r="H1140" s="138"/>
      <c r="I1140" s="138"/>
      <c r="J1140" s="138"/>
      <c r="K1140" s="138"/>
      <c r="L1140" s="138"/>
      <c r="M1140" s="138"/>
      <c r="N1140" s="138"/>
      <c r="O1140" s="138"/>
      <c r="P1140" s="138"/>
      <c r="Q1140" s="138"/>
      <c r="R1140" s="138"/>
      <c r="S1140" s="137"/>
    </row>
    <row r="1141" spans="2:19" x14ac:dyDescent="0.25">
      <c r="F1141" s="138"/>
      <c r="G1141" s="138"/>
      <c r="H1141" s="138"/>
      <c r="I1141" s="138"/>
      <c r="J1141" s="138"/>
      <c r="K1141" s="138"/>
      <c r="L1141" s="138"/>
      <c r="M1141" s="138"/>
      <c r="N1141" s="138"/>
      <c r="O1141" s="138"/>
      <c r="P1141" s="138"/>
      <c r="Q1141" s="138"/>
      <c r="R1141" s="138"/>
      <c r="S1141" s="137"/>
    </row>
    <row r="1142" spans="2:19" x14ac:dyDescent="0.25">
      <c r="F1142" s="138"/>
      <c r="G1142" s="138"/>
      <c r="H1142" s="138"/>
      <c r="I1142" s="138"/>
      <c r="J1142" s="138"/>
      <c r="K1142" s="138"/>
      <c r="L1142" s="138"/>
      <c r="M1142" s="138"/>
      <c r="N1142" s="138"/>
      <c r="O1142" s="138"/>
      <c r="P1142" s="138"/>
      <c r="Q1142" s="138"/>
      <c r="R1142" s="138"/>
      <c r="S1142" s="137"/>
    </row>
    <row r="1143" spans="2:19" x14ac:dyDescent="0.25">
      <c r="F1143" s="138"/>
      <c r="G1143" s="138"/>
      <c r="H1143" s="138"/>
      <c r="I1143" s="138"/>
      <c r="J1143" s="138"/>
      <c r="K1143" s="138"/>
      <c r="L1143" s="138"/>
      <c r="M1143" s="138"/>
      <c r="N1143" s="138"/>
      <c r="O1143" s="138"/>
      <c r="P1143" s="138"/>
      <c r="Q1143" s="138"/>
      <c r="R1143" s="138"/>
      <c r="S1143" s="137"/>
    </row>
    <row r="1144" spans="2:19" x14ac:dyDescent="0.25">
      <c r="F1144" s="138"/>
      <c r="G1144" s="138"/>
      <c r="H1144" s="138"/>
      <c r="I1144" s="138"/>
      <c r="J1144" s="138"/>
      <c r="K1144" s="138"/>
      <c r="L1144" s="138"/>
      <c r="M1144" s="138"/>
      <c r="N1144" s="138"/>
      <c r="O1144" s="138"/>
      <c r="P1144" s="138"/>
      <c r="Q1144" s="138"/>
      <c r="R1144" s="138"/>
      <c r="S1144" s="137"/>
    </row>
    <row r="1145" spans="2:19" x14ac:dyDescent="0.25">
      <c r="F1145" s="138"/>
      <c r="G1145" s="138"/>
      <c r="H1145" s="138"/>
      <c r="I1145" s="138"/>
      <c r="J1145" s="138"/>
      <c r="K1145" s="138"/>
      <c r="L1145" s="138"/>
      <c r="M1145" s="138"/>
      <c r="N1145" s="138"/>
      <c r="O1145" s="138"/>
      <c r="P1145" s="138"/>
      <c r="Q1145" s="138"/>
      <c r="R1145" s="138"/>
      <c r="S1145" s="137"/>
    </row>
    <row r="1146" spans="2:19" x14ac:dyDescent="0.25">
      <c r="F1146" s="138"/>
      <c r="G1146" s="138"/>
      <c r="H1146" s="138"/>
      <c r="I1146" s="138"/>
      <c r="J1146" s="138"/>
      <c r="K1146" s="138"/>
      <c r="L1146" s="138"/>
      <c r="M1146" s="138"/>
      <c r="N1146" s="138"/>
      <c r="O1146" s="138"/>
      <c r="P1146" s="138"/>
      <c r="Q1146" s="138"/>
      <c r="R1146" s="138"/>
      <c r="S1146" s="137"/>
    </row>
    <row r="1147" spans="2:19" x14ac:dyDescent="0.25">
      <c r="F1147" s="138"/>
      <c r="G1147" s="138"/>
      <c r="H1147" s="138"/>
      <c r="I1147" s="138"/>
      <c r="J1147" s="138"/>
      <c r="K1147" s="138"/>
      <c r="L1147" s="138"/>
      <c r="M1147" s="138"/>
      <c r="N1147" s="138"/>
      <c r="O1147" s="138"/>
      <c r="P1147" s="138"/>
      <c r="Q1147" s="138"/>
      <c r="R1147" s="138"/>
      <c r="S1147" s="137"/>
    </row>
    <row r="1148" spans="2:19" x14ac:dyDescent="0.25">
      <c r="F1148" s="138"/>
      <c r="G1148" s="138"/>
      <c r="H1148" s="138"/>
      <c r="I1148" s="138"/>
      <c r="J1148" s="138"/>
      <c r="K1148" s="138"/>
      <c r="L1148" s="138"/>
      <c r="M1148" s="138"/>
      <c r="N1148" s="138"/>
      <c r="O1148" s="138"/>
      <c r="P1148" s="138"/>
      <c r="Q1148" s="138"/>
      <c r="R1148" s="138"/>
      <c r="S1148" s="137"/>
    </row>
    <row r="1149" spans="2:19" x14ac:dyDescent="0.25">
      <c r="F1149" s="138"/>
      <c r="G1149" s="138"/>
      <c r="H1149" s="138"/>
      <c r="I1149" s="138"/>
      <c r="J1149" s="138"/>
      <c r="K1149" s="138"/>
      <c r="L1149" s="138"/>
      <c r="M1149" s="138"/>
      <c r="N1149" s="138"/>
      <c r="O1149" s="138"/>
      <c r="P1149" s="138"/>
      <c r="Q1149" s="138"/>
      <c r="R1149" s="138"/>
      <c r="S1149" s="137"/>
    </row>
    <row r="1150" spans="2:19" x14ac:dyDescent="0.25">
      <c r="F1150" s="138"/>
      <c r="G1150" s="138"/>
      <c r="H1150" s="138"/>
      <c r="I1150" s="138"/>
      <c r="J1150" s="138"/>
      <c r="K1150" s="138"/>
      <c r="L1150" s="138"/>
      <c r="M1150" s="138"/>
      <c r="N1150" s="138"/>
      <c r="O1150" s="138"/>
      <c r="P1150" s="138"/>
      <c r="Q1150" s="138"/>
      <c r="R1150" s="138"/>
      <c r="S1150" s="137"/>
    </row>
    <row r="1151" spans="2:19" x14ac:dyDescent="0.25">
      <c r="F1151" s="138"/>
      <c r="G1151" s="138"/>
      <c r="H1151" s="138"/>
      <c r="I1151" s="138"/>
      <c r="J1151" s="138"/>
      <c r="K1151" s="138"/>
      <c r="L1151" s="138"/>
      <c r="M1151" s="138"/>
      <c r="N1151" s="138"/>
      <c r="O1151" s="138"/>
      <c r="P1151" s="138"/>
      <c r="Q1151" s="138"/>
      <c r="R1151" s="138"/>
      <c r="S1151" s="137"/>
    </row>
    <row r="1152" spans="2:19" x14ac:dyDescent="0.25">
      <c r="F1152" s="138"/>
      <c r="G1152" s="138"/>
      <c r="H1152" s="138"/>
      <c r="I1152" s="138"/>
      <c r="J1152" s="138"/>
      <c r="K1152" s="138"/>
      <c r="L1152" s="138"/>
      <c r="M1152" s="138"/>
      <c r="N1152" s="138"/>
      <c r="O1152" s="138"/>
      <c r="P1152" s="138"/>
      <c r="Q1152" s="138"/>
      <c r="R1152" s="138"/>
      <c r="S1152" s="137"/>
    </row>
    <row r="1153" spans="6:19" x14ac:dyDescent="0.25">
      <c r="F1153" s="138"/>
      <c r="G1153" s="138"/>
      <c r="H1153" s="138"/>
      <c r="I1153" s="138"/>
      <c r="J1153" s="138"/>
      <c r="K1153" s="138"/>
      <c r="L1153" s="138"/>
      <c r="M1153" s="138"/>
      <c r="N1153" s="138"/>
      <c r="O1153" s="138"/>
      <c r="P1153" s="138"/>
      <c r="Q1153" s="138"/>
      <c r="R1153" s="138"/>
      <c r="S1153" s="137"/>
    </row>
    <row r="1154" spans="6:19" x14ac:dyDescent="0.25">
      <c r="F1154" s="138"/>
      <c r="G1154" s="138"/>
      <c r="H1154" s="138"/>
      <c r="I1154" s="138"/>
      <c r="J1154" s="138"/>
      <c r="K1154" s="138"/>
      <c r="L1154" s="138"/>
      <c r="M1154" s="138"/>
      <c r="N1154" s="138"/>
      <c r="O1154" s="138"/>
      <c r="P1154" s="138"/>
      <c r="Q1154" s="138"/>
      <c r="R1154" s="138"/>
      <c r="S1154" s="137"/>
    </row>
    <row r="1155" spans="6:19" x14ac:dyDescent="0.25">
      <c r="F1155" s="138"/>
      <c r="G1155" s="138"/>
      <c r="H1155" s="138"/>
      <c r="I1155" s="138"/>
      <c r="J1155" s="138"/>
      <c r="K1155" s="138"/>
      <c r="L1155" s="138"/>
      <c r="M1155" s="138"/>
      <c r="N1155" s="138"/>
      <c r="O1155" s="138"/>
      <c r="P1155" s="138"/>
      <c r="Q1155" s="138"/>
      <c r="R1155" s="138"/>
      <c r="S1155" s="137"/>
    </row>
    <row r="1156" spans="6:19" x14ac:dyDescent="0.25">
      <c r="F1156" s="138"/>
      <c r="G1156" s="138"/>
      <c r="H1156" s="138"/>
      <c r="I1156" s="138"/>
      <c r="J1156" s="138"/>
      <c r="K1156" s="138"/>
      <c r="L1156" s="138"/>
      <c r="M1156" s="138"/>
      <c r="N1156" s="138"/>
      <c r="O1156" s="138"/>
      <c r="P1156" s="138"/>
      <c r="Q1156" s="138"/>
      <c r="R1156" s="138"/>
      <c r="S1156" s="137"/>
    </row>
    <row r="1157" spans="6:19" x14ac:dyDescent="0.25">
      <c r="F1157" s="138"/>
      <c r="G1157" s="138"/>
      <c r="H1157" s="138"/>
      <c r="I1157" s="138"/>
      <c r="J1157" s="138"/>
      <c r="K1157" s="138"/>
      <c r="L1157" s="138"/>
      <c r="M1157" s="138"/>
      <c r="N1157" s="138"/>
      <c r="O1157" s="138"/>
      <c r="P1157" s="138"/>
      <c r="Q1157" s="138"/>
      <c r="R1157" s="138"/>
      <c r="S1157" s="137"/>
    </row>
    <row r="1158" spans="6:19" x14ac:dyDescent="0.25">
      <c r="F1158" s="138"/>
      <c r="G1158" s="138"/>
      <c r="H1158" s="138"/>
      <c r="I1158" s="138"/>
      <c r="J1158" s="138"/>
      <c r="K1158" s="138"/>
      <c r="L1158" s="138"/>
      <c r="M1158" s="138"/>
      <c r="N1158" s="138"/>
      <c r="O1158" s="138"/>
      <c r="P1158" s="138"/>
      <c r="Q1158" s="138"/>
      <c r="R1158" s="138"/>
      <c r="S1158" s="137"/>
    </row>
    <row r="1159" spans="6:19" x14ac:dyDescent="0.25">
      <c r="F1159" s="138"/>
      <c r="G1159" s="138"/>
      <c r="H1159" s="138"/>
      <c r="I1159" s="138"/>
      <c r="J1159" s="138"/>
      <c r="K1159" s="138"/>
      <c r="L1159" s="138"/>
      <c r="M1159" s="138"/>
      <c r="N1159" s="138"/>
      <c r="O1159" s="138"/>
      <c r="P1159" s="138"/>
      <c r="Q1159" s="138"/>
      <c r="R1159" s="138"/>
      <c r="S1159" s="137"/>
    </row>
    <row r="1160" spans="6:19" x14ac:dyDescent="0.25">
      <c r="F1160" s="138"/>
      <c r="G1160" s="138"/>
      <c r="H1160" s="138"/>
      <c r="I1160" s="138"/>
      <c r="J1160" s="138"/>
      <c r="K1160" s="138"/>
      <c r="L1160" s="138"/>
      <c r="M1160" s="138"/>
      <c r="N1160" s="138"/>
      <c r="O1160" s="138"/>
      <c r="P1160" s="138"/>
      <c r="Q1160" s="138"/>
      <c r="R1160" s="138"/>
      <c r="S1160" s="137"/>
    </row>
    <row r="1161" spans="6:19" x14ac:dyDescent="0.25">
      <c r="F1161" s="138"/>
      <c r="G1161" s="138"/>
      <c r="H1161" s="138"/>
      <c r="I1161" s="138"/>
      <c r="J1161" s="138"/>
      <c r="K1161" s="138"/>
      <c r="L1161" s="138"/>
      <c r="M1161" s="138"/>
      <c r="N1161" s="138"/>
      <c r="O1161" s="138"/>
      <c r="P1161" s="138"/>
      <c r="Q1161" s="138"/>
      <c r="R1161" s="138"/>
      <c r="S1161" s="137"/>
    </row>
    <row r="1162" spans="6:19" x14ac:dyDescent="0.25">
      <c r="F1162" s="138"/>
      <c r="G1162" s="138"/>
      <c r="H1162" s="138"/>
      <c r="I1162" s="138"/>
      <c r="J1162" s="138"/>
      <c r="K1162" s="138"/>
      <c r="L1162" s="138"/>
      <c r="M1162" s="138"/>
      <c r="N1162" s="138"/>
      <c r="O1162" s="138"/>
      <c r="P1162" s="138"/>
      <c r="Q1162" s="138"/>
      <c r="R1162" s="138"/>
      <c r="S1162" s="137"/>
    </row>
    <row r="1163" spans="6:19" x14ac:dyDescent="0.25">
      <c r="F1163" s="138"/>
      <c r="G1163" s="138"/>
      <c r="H1163" s="138"/>
      <c r="I1163" s="138"/>
      <c r="J1163" s="138"/>
      <c r="K1163" s="138"/>
      <c r="L1163" s="138"/>
      <c r="M1163" s="138"/>
      <c r="N1163" s="138"/>
      <c r="O1163" s="138"/>
      <c r="P1163" s="138"/>
      <c r="Q1163" s="138"/>
      <c r="R1163" s="138"/>
      <c r="S1163" s="137"/>
    </row>
    <row r="1164" spans="6:19" x14ac:dyDescent="0.25">
      <c r="F1164" s="138"/>
      <c r="G1164" s="138"/>
      <c r="H1164" s="138"/>
      <c r="I1164" s="138"/>
      <c r="J1164" s="138"/>
      <c r="K1164" s="138"/>
      <c r="L1164" s="138"/>
      <c r="M1164" s="138"/>
      <c r="N1164" s="138"/>
      <c r="O1164" s="138"/>
      <c r="P1164" s="138"/>
      <c r="Q1164" s="138"/>
      <c r="R1164" s="138"/>
      <c r="S1164" s="137"/>
    </row>
    <row r="1165" spans="6:19" x14ac:dyDescent="0.25">
      <c r="F1165" s="138"/>
      <c r="G1165" s="138"/>
      <c r="H1165" s="138"/>
      <c r="I1165" s="138"/>
      <c r="J1165" s="138"/>
      <c r="K1165" s="138"/>
      <c r="L1165" s="138"/>
      <c r="M1165" s="138"/>
      <c r="N1165" s="138"/>
      <c r="O1165" s="138"/>
      <c r="P1165" s="138"/>
      <c r="Q1165" s="138"/>
      <c r="R1165" s="138"/>
      <c r="S1165" s="137"/>
    </row>
    <row r="1166" spans="6:19" x14ac:dyDescent="0.25">
      <c r="F1166" s="138"/>
      <c r="G1166" s="138"/>
      <c r="H1166" s="138"/>
      <c r="I1166" s="138"/>
      <c r="J1166" s="138"/>
      <c r="K1166" s="138"/>
      <c r="L1166" s="138"/>
      <c r="M1166" s="138"/>
      <c r="N1166" s="138"/>
      <c r="O1166" s="138"/>
      <c r="P1166" s="138"/>
      <c r="Q1166" s="138"/>
      <c r="R1166" s="138"/>
      <c r="S1166" s="137"/>
    </row>
    <row r="1167" spans="6:19" x14ac:dyDescent="0.25">
      <c r="F1167" s="138"/>
      <c r="G1167" s="138"/>
      <c r="H1167" s="138"/>
      <c r="I1167" s="138"/>
      <c r="J1167" s="138"/>
      <c r="K1167" s="138"/>
      <c r="L1167" s="138"/>
      <c r="M1167" s="138"/>
      <c r="N1167" s="138"/>
      <c r="O1167" s="138"/>
      <c r="P1167" s="138"/>
      <c r="Q1167" s="138"/>
      <c r="R1167" s="138"/>
      <c r="S1167" s="137"/>
    </row>
    <row r="1168" spans="6:19" x14ac:dyDescent="0.25">
      <c r="F1168" s="138"/>
      <c r="G1168" s="138"/>
      <c r="H1168" s="138"/>
      <c r="I1168" s="138"/>
      <c r="J1168" s="138"/>
      <c r="K1168" s="138"/>
      <c r="L1168" s="138"/>
      <c r="M1168" s="138"/>
      <c r="N1168" s="138"/>
      <c r="O1168" s="138"/>
      <c r="P1168" s="138"/>
      <c r="Q1168" s="138"/>
      <c r="R1168" s="138"/>
      <c r="S1168" s="137"/>
    </row>
    <row r="1169" spans="6:19" x14ac:dyDescent="0.25">
      <c r="F1169" s="138"/>
      <c r="G1169" s="138"/>
      <c r="H1169" s="138"/>
      <c r="I1169" s="138"/>
      <c r="J1169" s="138"/>
      <c r="K1169" s="138"/>
      <c r="L1169" s="138"/>
      <c r="M1169" s="138"/>
      <c r="N1169" s="138"/>
      <c r="O1169" s="138"/>
      <c r="P1169" s="138"/>
      <c r="Q1169" s="138"/>
      <c r="R1169" s="138"/>
      <c r="S1169" s="137"/>
    </row>
    <row r="1170" spans="6:19" x14ac:dyDescent="0.25">
      <c r="F1170" s="138"/>
      <c r="G1170" s="138"/>
      <c r="H1170" s="138"/>
      <c r="I1170" s="138"/>
      <c r="J1170" s="138"/>
      <c r="K1170" s="138"/>
      <c r="L1170" s="138"/>
      <c r="M1170" s="138"/>
      <c r="N1170" s="138"/>
      <c r="O1170" s="138"/>
      <c r="P1170" s="138"/>
      <c r="Q1170" s="138"/>
      <c r="R1170" s="138"/>
      <c r="S1170" s="137"/>
    </row>
    <row r="1171" spans="6:19" x14ac:dyDescent="0.25">
      <c r="F1171" s="138"/>
      <c r="G1171" s="138"/>
      <c r="H1171" s="138"/>
      <c r="I1171" s="138"/>
      <c r="J1171" s="138"/>
      <c r="K1171" s="138"/>
      <c r="L1171" s="138"/>
      <c r="M1171" s="138"/>
      <c r="N1171" s="138"/>
      <c r="O1171" s="138"/>
      <c r="P1171" s="138"/>
      <c r="Q1171" s="138"/>
      <c r="R1171" s="138"/>
      <c r="S1171" s="137"/>
    </row>
    <row r="1172" spans="6:19" x14ac:dyDescent="0.25">
      <c r="F1172" s="138"/>
      <c r="G1172" s="138"/>
      <c r="H1172" s="138"/>
      <c r="I1172" s="138"/>
      <c r="J1172" s="138"/>
      <c r="K1172" s="138"/>
      <c r="L1172" s="138"/>
      <c r="M1172" s="138"/>
      <c r="N1172" s="138"/>
      <c r="O1172" s="138"/>
      <c r="P1172" s="138"/>
      <c r="Q1172" s="138"/>
      <c r="R1172" s="138"/>
      <c r="S1172" s="137"/>
    </row>
    <row r="1173" spans="6:19" x14ac:dyDescent="0.25">
      <c r="F1173" s="138"/>
      <c r="G1173" s="138"/>
      <c r="H1173" s="138"/>
      <c r="I1173" s="138"/>
      <c r="J1173" s="138"/>
      <c r="K1173" s="138"/>
      <c r="L1173" s="138"/>
      <c r="M1173" s="138"/>
      <c r="N1173" s="138"/>
      <c r="O1173" s="138"/>
      <c r="P1173" s="138"/>
      <c r="Q1173" s="138"/>
      <c r="R1173" s="138"/>
      <c r="S1173" s="137"/>
    </row>
    <row r="1174" spans="6:19" x14ac:dyDescent="0.25">
      <c r="F1174" s="138"/>
      <c r="G1174" s="138"/>
      <c r="H1174" s="138"/>
      <c r="I1174" s="138"/>
      <c r="J1174" s="138"/>
      <c r="K1174" s="138"/>
      <c r="L1174" s="138"/>
      <c r="M1174" s="138"/>
      <c r="N1174" s="138"/>
      <c r="O1174" s="138"/>
      <c r="P1174" s="138"/>
      <c r="Q1174" s="138"/>
      <c r="R1174" s="138"/>
      <c r="S1174" s="137"/>
    </row>
    <row r="1175" spans="6:19" x14ac:dyDescent="0.25">
      <c r="F1175" s="138"/>
      <c r="G1175" s="138"/>
      <c r="H1175" s="138"/>
      <c r="I1175" s="138"/>
      <c r="J1175" s="138"/>
      <c r="K1175" s="138"/>
      <c r="L1175" s="138"/>
      <c r="M1175" s="138"/>
      <c r="N1175" s="138"/>
      <c r="O1175" s="138"/>
      <c r="P1175" s="138"/>
      <c r="Q1175" s="138"/>
      <c r="R1175" s="138"/>
      <c r="S1175" s="137"/>
    </row>
    <row r="1176" spans="6:19" x14ac:dyDescent="0.25">
      <c r="F1176" s="138"/>
      <c r="G1176" s="138"/>
      <c r="H1176" s="138"/>
      <c r="I1176" s="138"/>
      <c r="J1176" s="138"/>
      <c r="K1176" s="138"/>
      <c r="L1176" s="138"/>
      <c r="M1176" s="138"/>
      <c r="N1176" s="138"/>
      <c r="O1176" s="138"/>
      <c r="P1176" s="138"/>
      <c r="Q1176" s="138"/>
      <c r="R1176" s="138"/>
      <c r="S1176" s="137"/>
    </row>
    <row r="1177" spans="6:19" x14ac:dyDescent="0.25">
      <c r="F1177" s="138"/>
      <c r="G1177" s="138"/>
      <c r="H1177" s="138"/>
      <c r="I1177" s="138"/>
      <c r="J1177" s="138"/>
      <c r="K1177" s="138"/>
      <c r="L1177" s="138"/>
      <c r="M1177" s="138"/>
      <c r="N1177" s="138"/>
      <c r="O1177" s="138"/>
      <c r="P1177" s="138"/>
      <c r="Q1177" s="138"/>
      <c r="R1177" s="138"/>
      <c r="S1177" s="137"/>
    </row>
    <row r="1178" spans="6:19" x14ac:dyDescent="0.25">
      <c r="F1178" s="138"/>
      <c r="G1178" s="138"/>
      <c r="H1178" s="138"/>
      <c r="I1178" s="138"/>
      <c r="J1178" s="138"/>
      <c r="K1178" s="138"/>
      <c r="L1178" s="138"/>
      <c r="M1178" s="138"/>
      <c r="N1178" s="138"/>
      <c r="O1178" s="138"/>
      <c r="P1178" s="138"/>
      <c r="Q1178" s="138"/>
      <c r="R1178" s="138"/>
      <c r="S1178" s="137"/>
    </row>
    <row r="1179" spans="6:19" x14ac:dyDescent="0.25">
      <c r="F1179" s="138"/>
      <c r="G1179" s="138"/>
      <c r="H1179" s="138"/>
      <c r="I1179" s="138"/>
      <c r="J1179" s="138"/>
      <c r="K1179" s="138"/>
      <c r="L1179" s="138"/>
      <c r="M1179" s="138"/>
      <c r="N1179" s="138"/>
      <c r="O1179" s="138"/>
      <c r="P1179" s="138"/>
      <c r="Q1179" s="138"/>
      <c r="R1179" s="138"/>
      <c r="S1179" s="137"/>
    </row>
    <row r="1180" spans="6:19" x14ac:dyDescent="0.25">
      <c r="F1180" s="138"/>
      <c r="G1180" s="138"/>
      <c r="H1180" s="138"/>
      <c r="I1180" s="138"/>
      <c r="J1180" s="138"/>
      <c r="K1180" s="138"/>
      <c r="L1180" s="138"/>
      <c r="M1180" s="138"/>
      <c r="N1180" s="138"/>
      <c r="O1180" s="138"/>
      <c r="P1180" s="138"/>
      <c r="Q1180" s="138"/>
      <c r="R1180" s="138"/>
      <c r="S1180" s="137"/>
    </row>
    <row r="1181" spans="6:19" x14ac:dyDescent="0.25">
      <c r="F1181" s="138"/>
      <c r="G1181" s="138"/>
      <c r="H1181" s="138"/>
      <c r="I1181" s="138"/>
      <c r="J1181" s="138"/>
      <c r="K1181" s="138"/>
      <c r="L1181" s="138"/>
      <c r="M1181" s="138"/>
      <c r="N1181" s="138"/>
      <c r="O1181" s="138"/>
      <c r="P1181" s="138"/>
      <c r="Q1181" s="138"/>
      <c r="R1181" s="138"/>
      <c r="S1181" s="137"/>
    </row>
    <row r="1182" spans="6:19" x14ac:dyDescent="0.25">
      <c r="F1182" s="138"/>
      <c r="G1182" s="138"/>
      <c r="H1182" s="138"/>
      <c r="I1182" s="138"/>
      <c r="J1182" s="138"/>
      <c r="K1182" s="138"/>
      <c r="L1182" s="138"/>
      <c r="M1182" s="138"/>
      <c r="N1182" s="138"/>
      <c r="O1182" s="138"/>
      <c r="P1182" s="138"/>
      <c r="Q1182" s="138"/>
      <c r="R1182" s="138"/>
      <c r="S1182" s="137"/>
    </row>
    <row r="1183" spans="6:19" x14ac:dyDescent="0.25">
      <c r="F1183" s="138"/>
      <c r="G1183" s="138"/>
      <c r="H1183" s="138"/>
      <c r="I1183" s="138"/>
      <c r="J1183" s="138"/>
      <c r="K1183" s="138"/>
      <c r="L1183" s="138"/>
      <c r="M1183" s="138"/>
      <c r="N1183" s="138"/>
      <c r="O1183" s="138"/>
      <c r="P1183" s="138"/>
      <c r="Q1183" s="138"/>
      <c r="R1183" s="138"/>
      <c r="S1183" s="137"/>
    </row>
    <row r="1184" spans="6:19" x14ac:dyDescent="0.25">
      <c r="F1184" s="138"/>
      <c r="G1184" s="138"/>
      <c r="H1184" s="138"/>
      <c r="I1184" s="138"/>
      <c r="J1184" s="138"/>
      <c r="K1184" s="138"/>
      <c r="L1184" s="138"/>
      <c r="M1184" s="138"/>
      <c r="N1184" s="138"/>
      <c r="O1184" s="138"/>
      <c r="P1184" s="138"/>
      <c r="Q1184" s="138"/>
      <c r="R1184" s="138"/>
      <c r="S1184" s="137"/>
    </row>
    <row r="1185" spans="6:19" x14ac:dyDescent="0.25">
      <c r="F1185" s="138"/>
      <c r="G1185" s="138"/>
      <c r="H1185" s="138"/>
      <c r="I1185" s="138"/>
      <c r="J1185" s="138"/>
      <c r="K1185" s="138"/>
      <c r="L1185" s="138"/>
      <c r="M1185" s="138"/>
      <c r="N1185" s="138"/>
      <c r="O1185" s="138"/>
      <c r="P1185" s="138"/>
      <c r="Q1185" s="138"/>
      <c r="R1185" s="138"/>
      <c r="S1185" s="137"/>
    </row>
    <row r="1186" spans="6:19" x14ac:dyDescent="0.25">
      <c r="F1186" s="138"/>
      <c r="G1186" s="138"/>
      <c r="H1186" s="138"/>
      <c r="I1186" s="138"/>
      <c r="J1186" s="138"/>
      <c r="K1186" s="138"/>
      <c r="L1186" s="138"/>
      <c r="M1186" s="138"/>
      <c r="N1186" s="138"/>
      <c r="O1186" s="138"/>
      <c r="P1186" s="138"/>
      <c r="Q1186" s="138"/>
      <c r="R1186" s="138"/>
      <c r="S1186" s="137"/>
    </row>
    <row r="1187" spans="6:19" x14ac:dyDescent="0.25">
      <c r="F1187" s="138"/>
      <c r="G1187" s="138"/>
      <c r="H1187" s="138"/>
      <c r="I1187" s="138"/>
      <c r="J1187" s="138"/>
      <c r="K1187" s="138"/>
      <c r="L1187" s="138"/>
      <c r="M1187" s="138"/>
      <c r="N1187" s="138"/>
      <c r="O1187" s="138"/>
      <c r="P1187" s="138"/>
      <c r="Q1187" s="138"/>
      <c r="R1187" s="138"/>
      <c r="S1187" s="137"/>
    </row>
    <row r="1188" spans="6:19" x14ac:dyDescent="0.25">
      <c r="F1188" s="138"/>
      <c r="G1188" s="138"/>
      <c r="H1188" s="138"/>
      <c r="I1188" s="138"/>
      <c r="J1188" s="138"/>
      <c r="K1188" s="138"/>
      <c r="L1188" s="138"/>
      <c r="M1188" s="138"/>
      <c r="N1188" s="138"/>
      <c r="O1188" s="138"/>
      <c r="P1188" s="138"/>
      <c r="Q1188" s="138"/>
      <c r="R1188" s="138"/>
      <c r="S1188" s="137"/>
    </row>
    <row r="1189" spans="6:19" x14ac:dyDescent="0.25">
      <c r="F1189" s="138"/>
      <c r="G1189" s="138"/>
      <c r="H1189" s="138"/>
      <c r="I1189" s="138"/>
      <c r="J1189" s="138"/>
      <c r="K1189" s="138"/>
      <c r="L1189" s="138"/>
      <c r="M1189" s="138"/>
      <c r="N1189" s="138"/>
      <c r="O1189" s="138"/>
      <c r="P1189" s="138"/>
      <c r="Q1189" s="138"/>
      <c r="R1189" s="138"/>
      <c r="S1189" s="137"/>
    </row>
    <row r="1190" spans="6:19" x14ac:dyDescent="0.25">
      <c r="F1190" s="138"/>
      <c r="G1190" s="138"/>
      <c r="H1190" s="138"/>
      <c r="I1190" s="138"/>
      <c r="J1190" s="138"/>
      <c r="K1190" s="138"/>
      <c r="L1190" s="138"/>
      <c r="M1190" s="138"/>
      <c r="N1190" s="138"/>
      <c r="O1190" s="138"/>
      <c r="P1190" s="138"/>
      <c r="Q1190" s="138"/>
      <c r="R1190" s="138"/>
      <c r="S1190" s="137"/>
    </row>
    <row r="1191" spans="6:19" x14ac:dyDescent="0.25">
      <c r="F1191" s="138"/>
      <c r="G1191" s="138"/>
      <c r="H1191" s="138"/>
      <c r="I1191" s="138"/>
      <c r="J1191" s="138"/>
      <c r="K1191" s="138"/>
      <c r="L1191" s="138"/>
      <c r="M1191" s="138"/>
      <c r="N1191" s="138"/>
      <c r="O1191" s="138"/>
      <c r="P1191" s="138"/>
      <c r="Q1191" s="138"/>
      <c r="R1191" s="138"/>
      <c r="S1191" s="137"/>
    </row>
    <row r="1192" spans="6:19" x14ac:dyDescent="0.25">
      <c r="F1192" s="138"/>
      <c r="G1192" s="138"/>
      <c r="H1192" s="138"/>
      <c r="I1192" s="138"/>
      <c r="J1192" s="138"/>
      <c r="K1192" s="138"/>
      <c r="L1192" s="138"/>
      <c r="M1192" s="138"/>
      <c r="N1192" s="138"/>
      <c r="O1192" s="138"/>
      <c r="P1192" s="138"/>
      <c r="Q1192" s="138"/>
      <c r="R1192" s="138"/>
      <c r="S1192" s="137"/>
    </row>
    <row r="1193" spans="6:19" x14ac:dyDescent="0.25">
      <c r="F1193" s="138"/>
      <c r="G1193" s="138"/>
      <c r="H1193" s="138"/>
      <c r="I1193" s="138"/>
      <c r="J1193" s="138"/>
      <c r="K1193" s="138"/>
      <c r="L1193" s="138"/>
      <c r="M1193" s="138"/>
      <c r="N1193" s="138"/>
      <c r="O1193" s="138"/>
      <c r="P1193" s="138"/>
      <c r="Q1193" s="138"/>
      <c r="R1193" s="138"/>
      <c r="S1193" s="137"/>
    </row>
    <row r="1194" spans="6:19" x14ac:dyDescent="0.25">
      <c r="F1194" s="138"/>
      <c r="G1194" s="138"/>
      <c r="H1194" s="138"/>
      <c r="I1194" s="138"/>
      <c r="J1194" s="138"/>
      <c r="K1194" s="138"/>
      <c r="L1194" s="138"/>
      <c r="M1194" s="138"/>
      <c r="N1194" s="138"/>
      <c r="O1194" s="138"/>
      <c r="P1194" s="138"/>
      <c r="Q1194" s="138"/>
      <c r="R1194" s="138"/>
      <c r="S1194" s="137"/>
    </row>
    <row r="1195" spans="6:19" x14ac:dyDescent="0.25">
      <c r="F1195" s="138"/>
      <c r="G1195" s="138"/>
      <c r="H1195" s="138"/>
      <c r="I1195" s="138"/>
      <c r="J1195" s="138"/>
      <c r="K1195" s="138"/>
      <c r="L1195" s="138"/>
      <c r="M1195" s="138"/>
      <c r="N1195" s="138"/>
      <c r="O1195" s="138"/>
      <c r="P1195" s="138"/>
      <c r="Q1195" s="138"/>
      <c r="R1195" s="138"/>
      <c r="S1195" s="137"/>
    </row>
    <row r="1196" spans="6:19" x14ac:dyDescent="0.25">
      <c r="F1196" s="138"/>
      <c r="G1196" s="138"/>
      <c r="H1196" s="138"/>
      <c r="I1196" s="138"/>
      <c r="J1196" s="138"/>
      <c r="K1196" s="138"/>
      <c r="L1196" s="138"/>
      <c r="M1196" s="138"/>
      <c r="N1196" s="138"/>
      <c r="O1196" s="138"/>
      <c r="P1196" s="138"/>
      <c r="Q1196" s="138"/>
      <c r="R1196" s="138"/>
      <c r="S1196" s="137"/>
    </row>
    <row r="1197" spans="6:19" x14ac:dyDescent="0.25">
      <c r="F1197" s="138"/>
      <c r="G1197" s="138"/>
      <c r="H1197" s="138"/>
      <c r="I1197" s="138"/>
      <c r="J1197" s="138"/>
      <c r="K1197" s="138"/>
      <c r="L1197" s="138"/>
      <c r="M1197" s="138"/>
      <c r="N1197" s="138"/>
      <c r="O1197" s="138"/>
      <c r="P1197" s="138"/>
      <c r="Q1197" s="138"/>
      <c r="R1197" s="138"/>
      <c r="S1197" s="137"/>
    </row>
    <row r="1198" spans="6:19" x14ac:dyDescent="0.25">
      <c r="F1198" s="138"/>
      <c r="G1198" s="138"/>
      <c r="H1198" s="138"/>
      <c r="I1198" s="138"/>
      <c r="J1198" s="138"/>
      <c r="K1198" s="138"/>
      <c r="L1198" s="138"/>
      <c r="M1198" s="138"/>
      <c r="N1198" s="138"/>
      <c r="O1198" s="138"/>
      <c r="P1198" s="138"/>
      <c r="Q1198" s="138"/>
      <c r="R1198" s="138"/>
      <c r="S1198" s="137"/>
    </row>
    <row r="1199" spans="6:19" x14ac:dyDescent="0.25">
      <c r="F1199" s="138"/>
      <c r="G1199" s="138"/>
      <c r="H1199" s="138"/>
      <c r="I1199" s="138"/>
      <c r="J1199" s="138"/>
      <c r="K1199" s="138"/>
      <c r="L1199" s="138"/>
      <c r="M1199" s="138"/>
      <c r="N1199" s="138"/>
      <c r="O1199" s="138"/>
      <c r="P1199" s="138"/>
      <c r="Q1199" s="138"/>
      <c r="R1199" s="138"/>
      <c r="S1199" s="137"/>
    </row>
    <row r="1200" spans="6:19" x14ac:dyDescent="0.25">
      <c r="F1200" s="138"/>
      <c r="G1200" s="138"/>
      <c r="H1200" s="138"/>
      <c r="I1200" s="138"/>
      <c r="J1200" s="138"/>
      <c r="K1200" s="138"/>
      <c r="L1200" s="138"/>
      <c r="M1200" s="138"/>
      <c r="N1200" s="138"/>
      <c r="O1200" s="138"/>
      <c r="P1200" s="138"/>
      <c r="Q1200" s="138"/>
      <c r="R1200" s="138"/>
      <c r="S1200" s="137"/>
    </row>
    <row r="1201" spans="6:19" x14ac:dyDescent="0.25">
      <c r="F1201" s="138"/>
      <c r="G1201" s="138"/>
      <c r="H1201" s="138"/>
      <c r="I1201" s="138"/>
      <c r="J1201" s="138"/>
      <c r="K1201" s="138"/>
      <c r="L1201" s="138"/>
      <c r="M1201" s="138"/>
      <c r="N1201" s="138"/>
      <c r="O1201" s="138"/>
      <c r="P1201" s="138"/>
      <c r="Q1201" s="138"/>
      <c r="R1201" s="138"/>
      <c r="S1201" s="137"/>
    </row>
    <row r="1202" spans="6:19" x14ac:dyDescent="0.25">
      <c r="F1202" s="138"/>
      <c r="G1202" s="138"/>
      <c r="H1202" s="138"/>
      <c r="I1202" s="138"/>
      <c r="J1202" s="138"/>
      <c r="K1202" s="138"/>
      <c r="L1202" s="138"/>
      <c r="M1202" s="138"/>
      <c r="N1202" s="138"/>
      <c r="O1202" s="138"/>
      <c r="P1202" s="138"/>
      <c r="Q1202" s="138"/>
      <c r="R1202" s="138"/>
      <c r="S1202" s="137"/>
    </row>
    <row r="1203" spans="6:19" x14ac:dyDescent="0.25">
      <c r="F1203" s="138"/>
      <c r="G1203" s="138"/>
      <c r="H1203" s="138"/>
      <c r="I1203" s="138"/>
      <c r="J1203" s="138"/>
      <c r="K1203" s="138"/>
      <c r="L1203" s="138"/>
      <c r="M1203" s="138"/>
      <c r="N1203" s="138"/>
      <c r="O1203" s="138"/>
      <c r="P1203" s="138"/>
      <c r="Q1203" s="138"/>
      <c r="R1203" s="138"/>
      <c r="S1203" s="137"/>
    </row>
    <row r="1204" spans="6:19" x14ac:dyDescent="0.25">
      <c r="F1204" s="138"/>
      <c r="G1204" s="138"/>
      <c r="H1204" s="138"/>
      <c r="I1204" s="138"/>
      <c r="J1204" s="138"/>
      <c r="K1204" s="138"/>
      <c r="L1204" s="138"/>
      <c r="M1204" s="138"/>
      <c r="N1204" s="138"/>
      <c r="O1204" s="138"/>
      <c r="P1204" s="138"/>
      <c r="Q1204" s="138"/>
      <c r="R1204" s="138"/>
      <c r="S1204" s="137"/>
    </row>
    <row r="1205" spans="6:19" x14ac:dyDescent="0.25">
      <c r="F1205" s="138"/>
      <c r="G1205" s="138"/>
      <c r="H1205" s="138"/>
      <c r="I1205" s="138"/>
      <c r="J1205" s="138"/>
      <c r="K1205" s="138"/>
      <c r="L1205" s="138"/>
      <c r="M1205" s="138"/>
      <c r="N1205" s="138"/>
      <c r="O1205" s="138"/>
      <c r="P1205" s="138"/>
      <c r="Q1205" s="138"/>
      <c r="R1205" s="138"/>
      <c r="S1205" s="137"/>
    </row>
    <row r="1206" spans="6:19" x14ac:dyDescent="0.25">
      <c r="F1206" s="138"/>
      <c r="G1206" s="138"/>
      <c r="H1206" s="138"/>
      <c r="I1206" s="138"/>
      <c r="J1206" s="138"/>
      <c r="K1206" s="138"/>
      <c r="L1206" s="138"/>
      <c r="M1206" s="138"/>
      <c r="N1206" s="138"/>
      <c r="O1206" s="138"/>
      <c r="P1206" s="138"/>
      <c r="Q1206" s="138"/>
      <c r="R1206" s="138"/>
      <c r="S1206" s="137"/>
    </row>
    <row r="1207" spans="6:19" x14ac:dyDescent="0.25">
      <c r="F1207" s="138"/>
      <c r="G1207" s="138"/>
      <c r="H1207" s="138"/>
      <c r="I1207" s="138"/>
      <c r="J1207" s="138"/>
      <c r="K1207" s="138"/>
      <c r="L1207" s="138"/>
      <c r="M1207" s="138"/>
      <c r="N1207" s="138"/>
      <c r="O1207" s="138"/>
      <c r="P1207" s="138"/>
      <c r="Q1207" s="138"/>
      <c r="R1207" s="138"/>
      <c r="S1207" s="137"/>
    </row>
    <row r="1208" spans="6:19" x14ac:dyDescent="0.25">
      <c r="F1208" s="138"/>
      <c r="G1208" s="138"/>
      <c r="H1208" s="138"/>
      <c r="I1208" s="138"/>
      <c r="J1208" s="138"/>
      <c r="K1208" s="138"/>
      <c r="L1208" s="138"/>
      <c r="M1208" s="138"/>
      <c r="N1208" s="138"/>
      <c r="O1208" s="138"/>
      <c r="P1208" s="138"/>
      <c r="Q1208" s="138"/>
      <c r="R1208" s="138"/>
      <c r="S1208" s="137"/>
    </row>
    <row r="1209" spans="6:19" x14ac:dyDescent="0.25">
      <c r="F1209" s="138"/>
      <c r="G1209" s="138"/>
      <c r="H1209" s="138"/>
      <c r="I1209" s="138"/>
      <c r="J1209" s="138"/>
      <c r="K1209" s="138"/>
      <c r="L1209" s="138"/>
      <c r="M1209" s="138"/>
      <c r="N1209" s="138"/>
      <c r="O1209" s="138"/>
      <c r="P1209" s="138"/>
      <c r="Q1209" s="138"/>
      <c r="R1209" s="138"/>
      <c r="S1209" s="137"/>
    </row>
    <row r="1210" spans="6:19" x14ac:dyDescent="0.25">
      <c r="F1210" s="138"/>
      <c r="G1210" s="138"/>
      <c r="H1210" s="138"/>
      <c r="I1210" s="138"/>
      <c r="J1210" s="138"/>
      <c r="K1210" s="138"/>
      <c r="L1210" s="138"/>
      <c r="M1210" s="138"/>
      <c r="N1210" s="138"/>
      <c r="O1210" s="138"/>
      <c r="P1210" s="138"/>
      <c r="Q1210" s="138"/>
      <c r="R1210" s="138"/>
      <c r="S1210" s="137"/>
    </row>
    <row r="1211" spans="6:19" x14ac:dyDescent="0.25">
      <c r="F1211" s="138"/>
      <c r="G1211" s="138"/>
      <c r="H1211" s="138"/>
      <c r="I1211" s="138"/>
      <c r="J1211" s="138"/>
      <c r="K1211" s="138"/>
      <c r="L1211" s="138"/>
      <c r="M1211" s="138"/>
      <c r="N1211" s="138"/>
      <c r="O1211" s="138"/>
      <c r="P1211" s="138"/>
      <c r="Q1211" s="138"/>
      <c r="R1211" s="138"/>
      <c r="S1211" s="137"/>
    </row>
    <row r="1212" spans="6:19" x14ac:dyDescent="0.25">
      <c r="F1212" s="138"/>
      <c r="G1212" s="138"/>
      <c r="H1212" s="138"/>
      <c r="I1212" s="138"/>
      <c r="J1212" s="138"/>
      <c r="K1212" s="138"/>
      <c r="L1212" s="138"/>
      <c r="M1212" s="138"/>
      <c r="N1212" s="138"/>
      <c r="O1212" s="138"/>
      <c r="P1212" s="138"/>
      <c r="Q1212" s="138"/>
      <c r="R1212" s="138"/>
      <c r="S1212" s="137"/>
    </row>
    <row r="1213" spans="6:19" x14ac:dyDescent="0.25">
      <c r="F1213" s="138"/>
      <c r="G1213" s="138"/>
      <c r="H1213" s="138"/>
      <c r="I1213" s="138"/>
      <c r="J1213" s="138"/>
      <c r="K1213" s="138"/>
      <c r="L1213" s="138"/>
      <c r="M1213" s="138"/>
      <c r="N1213" s="138"/>
      <c r="O1213" s="138"/>
      <c r="P1213" s="138"/>
      <c r="Q1213" s="138"/>
      <c r="R1213" s="138"/>
      <c r="S1213" s="137"/>
    </row>
    <row r="1214" spans="6:19" x14ac:dyDescent="0.25">
      <c r="F1214" s="138"/>
      <c r="G1214" s="138"/>
      <c r="H1214" s="138"/>
      <c r="I1214" s="138"/>
      <c r="J1214" s="138"/>
      <c r="K1214" s="138"/>
      <c r="L1214" s="138"/>
      <c r="M1214" s="138"/>
      <c r="N1214" s="138"/>
      <c r="O1214" s="138"/>
      <c r="P1214" s="138"/>
      <c r="Q1214" s="138"/>
      <c r="R1214" s="138"/>
      <c r="S1214" s="137"/>
    </row>
    <row r="1215" spans="6:19" x14ac:dyDescent="0.25">
      <c r="F1215" s="138"/>
      <c r="G1215" s="138"/>
      <c r="H1215" s="138"/>
      <c r="I1215" s="138"/>
      <c r="J1215" s="138"/>
      <c r="K1215" s="138"/>
      <c r="L1215" s="138"/>
      <c r="M1215" s="138"/>
      <c r="N1215" s="138"/>
      <c r="O1215" s="138"/>
      <c r="P1215" s="138"/>
      <c r="Q1215" s="138"/>
      <c r="R1215" s="138"/>
      <c r="S1215" s="137"/>
    </row>
    <row r="1216" spans="6:19" x14ac:dyDescent="0.25">
      <c r="F1216" s="138"/>
      <c r="G1216" s="138"/>
      <c r="H1216" s="138"/>
      <c r="I1216" s="138"/>
      <c r="J1216" s="138"/>
      <c r="K1216" s="138"/>
      <c r="L1216" s="138"/>
      <c r="M1216" s="138"/>
      <c r="N1216" s="138"/>
      <c r="O1216" s="138"/>
      <c r="P1216" s="138"/>
      <c r="Q1216" s="138"/>
      <c r="R1216" s="138"/>
      <c r="S1216" s="137"/>
    </row>
    <row r="1217" spans="6:19" x14ac:dyDescent="0.25">
      <c r="F1217" s="138"/>
      <c r="G1217" s="138"/>
      <c r="H1217" s="138"/>
      <c r="I1217" s="138"/>
      <c r="J1217" s="138"/>
      <c r="K1217" s="138"/>
      <c r="L1217" s="138"/>
      <c r="M1217" s="138"/>
      <c r="N1217" s="138"/>
      <c r="O1217" s="138"/>
      <c r="P1217" s="138"/>
      <c r="Q1217" s="138"/>
      <c r="R1217" s="138"/>
      <c r="S1217" s="137"/>
    </row>
    <row r="1218" spans="6:19" x14ac:dyDescent="0.25">
      <c r="F1218" s="138"/>
      <c r="G1218" s="138"/>
      <c r="H1218" s="138"/>
      <c r="I1218" s="138"/>
      <c r="J1218" s="138"/>
      <c r="K1218" s="138"/>
      <c r="L1218" s="138"/>
      <c r="M1218" s="138"/>
      <c r="N1218" s="138"/>
      <c r="O1218" s="138"/>
      <c r="P1218" s="138"/>
      <c r="Q1218" s="138"/>
      <c r="R1218" s="138"/>
      <c r="S1218" s="137"/>
    </row>
    <row r="1219" spans="6:19" x14ac:dyDescent="0.25">
      <c r="F1219" s="138"/>
      <c r="G1219" s="138"/>
      <c r="H1219" s="138"/>
      <c r="I1219" s="138"/>
      <c r="J1219" s="138"/>
      <c r="K1219" s="138"/>
      <c r="L1219" s="138"/>
      <c r="M1219" s="138"/>
      <c r="N1219" s="138"/>
      <c r="O1219" s="138"/>
      <c r="P1219" s="138"/>
      <c r="Q1219" s="138"/>
      <c r="R1219" s="138"/>
      <c r="S1219" s="137"/>
    </row>
    <row r="1220" spans="6:19" x14ac:dyDescent="0.25">
      <c r="F1220" s="138"/>
      <c r="G1220" s="138"/>
      <c r="H1220" s="138"/>
      <c r="I1220" s="138"/>
      <c r="J1220" s="138"/>
      <c r="K1220" s="138"/>
      <c r="L1220" s="138"/>
      <c r="M1220" s="138"/>
      <c r="N1220" s="138"/>
      <c r="O1220" s="138"/>
      <c r="P1220" s="138"/>
      <c r="Q1220" s="138"/>
      <c r="R1220" s="138"/>
      <c r="S1220" s="137"/>
    </row>
    <row r="1221" spans="6:19" x14ac:dyDescent="0.25">
      <c r="F1221" s="138"/>
      <c r="G1221" s="138"/>
      <c r="H1221" s="138"/>
      <c r="I1221" s="138"/>
      <c r="J1221" s="138"/>
      <c r="K1221" s="138"/>
      <c r="L1221" s="138"/>
      <c r="M1221" s="138"/>
      <c r="N1221" s="138"/>
      <c r="O1221" s="138"/>
      <c r="P1221" s="138"/>
      <c r="Q1221" s="138"/>
      <c r="R1221" s="138"/>
      <c r="S1221" s="137"/>
    </row>
    <row r="1222" spans="6:19" x14ac:dyDescent="0.25">
      <c r="F1222" s="138"/>
      <c r="G1222" s="138"/>
      <c r="H1222" s="138"/>
      <c r="I1222" s="138"/>
      <c r="J1222" s="138"/>
      <c r="K1222" s="138"/>
      <c r="L1222" s="138"/>
      <c r="M1222" s="138"/>
      <c r="N1222" s="138"/>
      <c r="O1222" s="138"/>
      <c r="P1222" s="138"/>
      <c r="Q1222" s="138"/>
      <c r="R1222" s="138"/>
      <c r="S1222" s="137"/>
    </row>
    <row r="1223" spans="6:19" x14ac:dyDescent="0.25">
      <c r="F1223" s="138"/>
      <c r="G1223" s="138"/>
      <c r="H1223" s="138"/>
      <c r="I1223" s="138"/>
      <c r="J1223" s="138"/>
      <c r="K1223" s="138"/>
      <c r="L1223" s="138"/>
      <c r="M1223" s="138"/>
      <c r="N1223" s="138"/>
      <c r="O1223" s="138"/>
      <c r="P1223" s="138"/>
      <c r="Q1223" s="138"/>
      <c r="R1223" s="138"/>
      <c r="S1223" s="137"/>
    </row>
    <row r="1224" spans="6:19" x14ac:dyDescent="0.25">
      <c r="F1224" s="138"/>
      <c r="G1224" s="138"/>
      <c r="H1224" s="138"/>
      <c r="I1224" s="138"/>
      <c r="J1224" s="138"/>
      <c r="K1224" s="138"/>
      <c r="L1224" s="138"/>
      <c r="M1224" s="138"/>
      <c r="N1224" s="138"/>
      <c r="O1224" s="138"/>
      <c r="P1224" s="138"/>
      <c r="Q1224" s="138"/>
      <c r="R1224" s="138"/>
      <c r="S1224" s="137"/>
    </row>
    <row r="1225" spans="6:19" x14ac:dyDescent="0.25">
      <c r="F1225" s="138"/>
      <c r="G1225" s="138"/>
      <c r="H1225" s="138"/>
      <c r="I1225" s="138"/>
      <c r="J1225" s="138"/>
      <c r="K1225" s="138"/>
      <c r="L1225" s="138"/>
      <c r="M1225" s="138"/>
      <c r="N1225" s="138"/>
      <c r="O1225" s="138"/>
      <c r="P1225" s="138"/>
      <c r="Q1225" s="138"/>
      <c r="R1225" s="138"/>
      <c r="S1225" s="137"/>
    </row>
    <row r="1226" spans="6:19" x14ac:dyDescent="0.25">
      <c r="F1226" s="138"/>
      <c r="G1226" s="138"/>
      <c r="H1226" s="138"/>
      <c r="I1226" s="138"/>
      <c r="J1226" s="138"/>
      <c r="K1226" s="138"/>
      <c r="L1226" s="138"/>
      <c r="M1226" s="138"/>
      <c r="N1226" s="138"/>
      <c r="O1226" s="138"/>
      <c r="P1226" s="138"/>
      <c r="Q1226" s="138"/>
      <c r="R1226" s="138"/>
      <c r="S1226" s="137"/>
    </row>
    <row r="1227" spans="6:19" x14ac:dyDescent="0.25">
      <c r="F1227" s="138"/>
      <c r="G1227" s="138"/>
      <c r="H1227" s="138"/>
      <c r="I1227" s="138"/>
      <c r="J1227" s="138"/>
      <c r="K1227" s="138"/>
      <c r="L1227" s="138"/>
      <c r="M1227" s="138"/>
      <c r="N1227" s="138"/>
      <c r="O1227" s="138"/>
      <c r="P1227" s="138"/>
      <c r="Q1227" s="138"/>
      <c r="R1227" s="138"/>
      <c r="S1227" s="137"/>
    </row>
    <row r="1228" spans="6:19" x14ac:dyDescent="0.25">
      <c r="F1228" s="138"/>
      <c r="G1228" s="138"/>
      <c r="H1228" s="138"/>
      <c r="I1228" s="138"/>
      <c r="J1228" s="138"/>
      <c r="K1228" s="138"/>
      <c r="L1228" s="138"/>
      <c r="M1228" s="138"/>
      <c r="N1228" s="138"/>
      <c r="O1228" s="138"/>
      <c r="P1228" s="138"/>
      <c r="Q1228" s="138"/>
      <c r="R1228" s="138"/>
      <c r="S1228" s="137"/>
    </row>
    <row r="1229" spans="6:19" x14ac:dyDescent="0.25">
      <c r="F1229" s="138"/>
      <c r="G1229" s="138"/>
      <c r="H1229" s="138"/>
      <c r="I1229" s="138"/>
      <c r="J1229" s="138"/>
      <c r="K1229" s="138"/>
      <c r="L1229" s="138"/>
      <c r="M1229" s="138"/>
      <c r="N1229" s="138"/>
      <c r="O1229" s="138"/>
      <c r="P1229" s="138"/>
      <c r="Q1229" s="138"/>
      <c r="R1229" s="138"/>
      <c r="S1229" s="137"/>
    </row>
    <row r="1230" spans="6:19" x14ac:dyDescent="0.25">
      <c r="F1230" s="138"/>
      <c r="G1230" s="138"/>
      <c r="H1230" s="138"/>
      <c r="I1230" s="138"/>
      <c r="J1230" s="138"/>
      <c r="K1230" s="138"/>
      <c r="L1230" s="138"/>
      <c r="M1230" s="138"/>
      <c r="N1230" s="138"/>
      <c r="O1230" s="138"/>
      <c r="P1230" s="138"/>
      <c r="Q1230" s="138"/>
      <c r="R1230" s="138"/>
      <c r="S1230" s="137"/>
    </row>
    <row r="1231" spans="6:19" x14ac:dyDescent="0.25">
      <c r="F1231" s="138"/>
      <c r="G1231" s="138"/>
      <c r="H1231" s="138"/>
      <c r="I1231" s="138"/>
      <c r="J1231" s="138"/>
      <c r="K1231" s="138"/>
      <c r="L1231" s="138"/>
      <c r="M1231" s="138"/>
      <c r="N1231" s="138"/>
      <c r="O1231" s="138"/>
      <c r="P1231" s="138"/>
      <c r="Q1231" s="138"/>
      <c r="R1231" s="138"/>
      <c r="S1231" s="137"/>
    </row>
    <row r="1232" spans="6:19" x14ac:dyDescent="0.25">
      <c r="F1232" s="138"/>
      <c r="G1232" s="138"/>
      <c r="H1232" s="138"/>
      <c r="I1232" s="138"/>
      <c r="J1232" s="138"/>
      <c r="K1232" s="138"/>
      <c r="L1232" s="138"/>
      <c r="M1232" s="138"/>
      <c r="N1232" s="138"/>
      <c r="O1232" s="138"/>
      <c r="P1232" s="138"/>
      <c r="Q1232" s="138"/>
      <c r="R1232" s="138"/>
      <c r="S1232" s="137"/>
    </row>
    <row r="1233" spans="6:19" x14ac:dyDescent="0.25">
      <c r="F1233" s="138"/>
      <c r="G1233" s="138"/>
      <c r="H1233" s="138"/>
      <c r="I1233" s="138"/>
      <c r="J1233" s="138"/>
      <c r="K1233" s="138"/>
      <c r="L1233" s="138"/>
      <c r="M1233" s="138"/>
      <c r="N1233" s="138"/>
      <c r="O1233" s="138"/>
      <c r="P1233" s="138"/>
      <c r="Q1233" s="138"/>
      <c r="R1233" s="138"/>
      <c r="S1233" s="137"/>
    </row>
    <row r="1234" spans="6:19" x14ac:dyDescent="0.25">
      <c r="F1234" s="138"/>
      <c r="G1234" s="138"/>
      <c r="H1234" s="138"/>
      <c r="I1234" s="138"/>
      <c r="J1234" s="138"/>
      <c r="K1234" s="138"/>
      <c r="L1234" s="138"/>
      <c r="M1234" s="138"/>
      <c r="N1234" s="138"/>
      <c r="O1234" s="138"/>
      <c r="P1234" s="138"/>
      <c r="Q1234" s="138"/>
      <c r="R1234" s="138"/>
      <c r="S1234" s="137"/>
    </row>
    <row r="1235" spans="6:19" x14ac:dyDescent="0.25">
      <c r="F1235" s="138"/>
      <c r="G1235" s="138"/>
      <c r="H1235" s="138"/>
      <c r="I1235" s="138"/>
      <c r="J1235" s="138"/>
      <c r="K1235" s="138"/>
      <c r="L1235" s="138"/>
      <c r="M1235" s="138"/>
      <c r="N1235" s="138"/>
      <c r="O1235" s="138"/>
      <c r="P1235" s="138"/>
      <c r="Q1235" s="138"/>
      <c r="R1235" s="138"/>
      <c r="S1235" s="137"/>
    </row>
    <row r="1236" spans="6:19" x14ac:dyDescent="0.25">
      <c r="F1236" s="138"/>
      <c r="G1236" s="138"/>
      <c r="H1236" s="138"/>
      <c r="I1236" s="138"/>
      <c r="J1236" s="138"/>
      <c r="K1236" s="138"/>
      <c r="L1236" s="138"/>
      <c r="M1236" s="138"/>
      <c r="N1236" s="138"/>
      <c r="O1236" s="138"/>
      <c r="P1236" s="138"/>
      <c r="Q1236" s="138"/>
      <c r="R1236" s="138"/>
      <c r="S1236" s="137"/>
    </row>
    <row r="1237" spans="6:19" x14ac:dyDescent="0.25">
      <c r="F1237" s="138"/>
      <c r="G1237" s="138"/>
      <c r="H1237" s="138"/>
      <c r="I1237" s="138"/>
      <c r="J1237" s="138"/>
      <c r="K1237" s="138"/>
      <c r="L1237" s="138"/>
      <c r="M1237" s="138"/>
      <c r="N1237" s="138"/>
      <c r="O1237" s="138"/>
      <c r="P1237" s="138"/>
      <c r="Q1237" s="138"/>
      <c r="R1237" s="138"/>
      <c r="S1237" s="137"/>
    </row>
    <row r="1238" spans="6:19" x14ac:dyDescent="0.25">
      <c r="F1238" s="138"/>
      <c r="G1238" s="138"/>
      <c r="H1238" s="138"/>
      <c r="I1238" s="138"/>
      <c r="J1238" s="138"/>
      <c r="K1238" s="138"/>
      <c r="L1238" s="138"/>
      <c r="M1238" s="138"/>
      <c r="N1238" s="138"/>
      <c r="O1238" s="138"/>
      <c r="P1238" s="138"/>
      <c r="Q1238" s="138"/>
      <c r="R1238" s="138"/>
      <c r="S1238" s="137"/>
    </row>
    <row r="1239" spans="6:19" x14ac:dyDescent="0.25">
      <c r="F1239" s="138"/>
      <c r="G1239" s="138"/>
      <c r="H1239" s="138"/>
      <c r="I1239" s="138"/>
      <c r="J1239" s="138"/>
      <c r="K1239" s="138"/>
      <c r="L1239" s="138"/>
      <c r="M1239" s="138"/>
      <c r="N1239" s="138"/>
      <c r="O1239" s="138"/>
      <c r="P1239" s="138"/>
      <c r="Q1239" s="138"/>
      <c r="R1239" s="138"/>
      <c r="S1239" s="137"/>
    </row>
    <row r="1240" spans="6:19" x14ac:dyDescent="0.25">
      <c r="F1240" s="138"/>
      <c r="G1240" s="138"/>
      <c r="H1240" s="138"/>
      <c r="I1240" s="138"/>
      <c r="J1240" s="138"/>
      <c r="K1240" s="138"/>
      <c r="L1240" s="138"/>
      <c r="M1240" s="138"/>
      <c r="N1240" s="138"/>
      <c r="O1240" s="138"/>
      <c r="P1240" s="138"/>
      <c r="Q1240" s="138"/>
      <c r="R1240" s="138"/>
      <c r="S1240" s="137"/>
    </row>
    <row r="1241" spans="6:19" x14ac:dyDescent="0.25">
      <c r="F1241" s="138"/>
      <c r="G1241" s="138"/>
      <c r="H1241" s="138"/>
      <c r="I1241" s="138"/>
      <c r="J1241" s="138"/>
      <c r="K1241" s="138"/>
      <c r="L1241" s="138"/>
      <c r="M1241" s="138"/>
      <c r="N1241" s="138"/>
      <c r="O1241" s="138"/>
      <c r="P1241" s="138"/>
      <c r="Q1241" s="138"/>
      <c r="R1241" s="138"/>
      <c r="S1241" s="137"/>
    </row>
    <row r="1242" spans="6:19" x14ac:dyDescent="0.25">
      <c r="F1242" s="138"/>
      <c r="G1242" s="138"/>
      <c r="H1242" s="138"/>
      <c r="I1242" s="138"/>
      <c r="J1242" s="138"/>
      <c r="K1242" s="138"/>
      <c r="L1242" s="138"/>
      <c r="M1242" s="138"/>
      <c r="N1242" s="138"/>
      <c r="O1242" s="138"/>
      <c r="P1242" s="138"/>
      <c r="Q1242" s="138"/>
      <c r="R1242" s="138"/>
      <c r="S1242" s="137"/>
    </row>
    <row r="1243" spans="6:19" x14ac:dyDescent="0.25">
      <c r="F1243" s="138"/>
      <c r="G1243" s="138"/>
      <c r="H1243" s="138"/>
      <c r="I1243" s="138"/>
      <c r="J1243" s="138"/>
      <c r="K1243" s="138"/>
      <c r="L1243" s="138"/>
      <c r="M1243" s="138"/>
      <c r="N1243" s="138"/>
      <c r="O1243" s="138"/>
      <c r="P1243" s="138"/>
      <c r="Q1243" s="138"/>
      <c r="R1243" s="138"/>
      <c r="S1243" s="137"/>
    </row>
    <row r="1244" spans="6:19" x14ac:dyDescent="0.25">
      <c r="F1244" s="138"/>
      <c r="G1244" s="138"/>
      <c r="H1244" s="138"/>
      <c r="I1244" s="138"/>
      <c r="J1244" s="138"/>
      <c r="K1244" s="138"/>
      <c r="L1244" s="138"/>
      <c r="M1244" s="138"/>
      <c r="N1244" s="138"/>
      <c r="O1244" s="138"/>
      <c r="P1244" s="138"/>
      <c r="Q1244" s="138"/>
      <c r="R1244" s="138"/>
      <c r="S1244" s="137"/>
    </row>
    <row r="1245" spans="6:19" x14ac:dyDescent="0.25">
      <c r="F1245" s="138"/>
      <c r="G1245" s="138"/>
      <c r="H1245" s="138"/>
      <c r="I1245" s="138"/>
      <c r="J1245" s="138"/>
      <c r="K1245" s="138"/>
      <c r="L1245" s="138"/>
      <c r="M1245" s="138"/>
      <c r="N1245" s="138"/>
      <c r="O1245" s="138"/>
      <c r="P1245" s="138"/>
      <c r="Q1245" s="138"/>
      <c r="R1245" s="138"/>
      <c r="S1245" s="137"/>
    </row>
    <row r="1246" spans="6:19" x14ac:dyDescent="0.25">
      <c r="F1246" s="138"/>
      <c r="G1246" s="138"/>
      <c r="H1246" s="138"/>
      <c r="I1246" s="138"/>
      <c r="J1246" s="138"/>
      <c r="K1246" s="138"/>
      <c r="L1246" s="138"/>
      <c r="M1246" s="138"/>
      <c r="N1246" s="138"/>
      <c r="O1246" s="138"/>
      <c r="P1246" s="138"/>
      <c r="Q1246" s="138"/>
      <c r="R1246" s="138"/>
      <c r="S1246" s="137"/>
    </row>
    <row r="1247" spans="6:19" x14ac:dyDescent="0.25">
      <c r="F1247" s="138"/>
      <c r="G1247" s="138"/>
      <c r="H1247" s="138"/>
      <c r="I1247" s="138"/>
      <c r="J1247" s="138"/>
      <c r="K1247" s="138"/>
      <c r="L1247" s="138"/>
      <c r="M1247" s="138"/>
      <c r="N1247" s="138"/>
      <c r="O1247" s="138"/>
      <c r="P1247" s="138"/>
      <c r="Q1247" s="138"/>
      <c r="R1247" s="138"/>
      <c r="S1247" s="137"/>
    </row>
    <row r="1248" spans="6:19" x14ac:dyDescent="0.25">
      <c r="F1248" s="138"/>
      <c r="G1248" s="138"/>
      <c r="H1248" s="138"/>
      <c r="I1248" s="138"/>
      <c r="J1248" s="138"/>
      <c r="K1248" s="138"/>
      <c r="L1248" s="138"/>
      <c r="M1248" s="138"/>
      <c r="N1248" s="138"/>
      <c r="O1248" s="138"/>
      <c r="P1248" s="138"/>
      <c r="Q1248" s="138"/>
      <c r="R1248" s="138"/>
      <c r="S1248" s="137"/>
    </row>
    <row r="1249" spans="6:19" x14ac:dyDescent="0.25">
      <c r="F1249" s="138"/>
      <c r="G1249" s="138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7"/>
    </row>
    <row r="1250" spans="6:19" x14ac:dyDescent="0.25">
      <c r="F1250" s="138"/>
      <c r="G1250" s="138"/>
      <c r="H1250" s="138"/>
      <c r="I1250" s="138"/>
      <c r="J1250" s="138"/>
      <c r="K1250" s="138"/>
      <c r="L1250" s="138"/>
      <c r="M1250" s="138"/>
      <c r="N1250" s="138"/>
      <c r="O1250" s="138"/>
      <c r="P1250" s="138"/>
      <c r="Q1250" s="138"/>
      <c r="R1250" s="138"/>
      <c r="S1250" s="137"/>
    </row>
    <row r="1251" spans="6:19" x14ac:dyDescent="0.25">
      <c r="F1251" s="138"/>
      <c r="G1251" s="138"/>
      <c r="H1251" s="138"/>
      <c r="I1251" s="138"/>
      <c r="J1251" s="138"/>
      <c r="K1251" s="138"/>
      <c r="L1251" s="138"/>
      <c r="M1251" s="138"/>
      <c r="N1251" s="138"/>
      <c r="O1251" s="138"/>
      <c r="P1251" s="138"/>
      <c r="Q1251" s="138"/>
      <c r="R1251" s="138"/>
      <c r="S1251" s="137"/>
    </row>
    <row r="1252" spans="6:19" x14ac:dyDescent="0.25">
      <c r="F1252" s="138"/>
      <c r="G1252" s="138"/>
      <c r="H1252" s="138"/>
      <c r="I1252" s="138"/>
      <c r="J1252" s="138"/>
      <c r="K1252" s="138"/>
      <c r="L1252" s="138"/>
      <c r="M1252" s="138"/>
      <c r="N1252" s="138"/>
      <c r="O1252" s="138"/>
      <c r="P1252" s="138"/>
      <c r="Q1252" s="138"/>
      <c r="R1252" s="138"/>
      <c r="S1252" s="137"/>
    </row>
    <row r="1253" spans="6:19" x14ac:dyDescent="0.25">
      <c r="F1253" s="138"/>
      <c r="G1253" s="138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7"/>
    </row>
    <row r="1254" spans="6:19" x14ac:dyDescent="0.25">
      <c r="F1254" s="36"/>
      <c r="G1254" s="36"/>
      <c r="H1254" s="36"/>
      <c r="I1254" s="36"/>
      <c r="J1254" s="36"/>
      <c r="K1254" s="36"/>
      <c r="L1254" s="36"/>
      <c r="M1254" s="36"/>
      <c r="N1254" s="36"/>
      <c r="O1254" s="36"/>
      <c r="P1254" s="36"/>
      <c r="Q1254" s="36"/>
      <c r="R1254" s="36"/>
    </row>
    <row r="1255" spans="6:19" x14ac:dyDescent="0.25"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  <c r="P1255" s="36"/>
      <c r="Q1255" s="36"/>
      <c r="R1255" s="36"/>
    </row>
    <row r="1256" spans="6:19" x14ac:dyDescent="0.25">
      <c r="F1256" s="36"/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  <c r="Q1256" s="36"/>
      <c r="R1256" s="36"/>
    </row>
    <row r="1257" spans="6:19" x14ac:dyDescent="0.25"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36"/>
    </row>
    <row r="1258" spans="6:19" x14ac:dyDescent="0.25"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36"/>
    </row>
    <row r="1259" spans="6:19" x14ac:dyDescent="0.25"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6"/>
    </row>
    <row r="1260" spans="6:19" x14ac:dyDescent="0.25"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36"/>
    </row>
    <row r="1261" spans="6:19" x14ac:dyDescent="0.25"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36"/>
    </row>
    <row r="1262" spans="6:19" x14ac:dyDescent="0.25"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36"/>
    </row>
    <row r="1263" spans="6:19" x14ac:dyDescent="0.25"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36"/>
    </row>
    <row r="1264" spans="6:19" x14ac:dyDescent="0.25"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6"/>
    </row>
    <row r="1265" spans="6:18" x14ac:dyDescent="0.25"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6"/>
    </row>
    <row r="1266" spans="6:18" x14ac:dyDescent="0.25"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36"/>
    </row>
    <row r="1267" spans="6:18" x14ac:dyDescent="0.25"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</row>
    <row r="1268" spans="6:18" x14ac:dyDescent="0.25"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6"/>
    </row>
    <row r="1269" spans="6:18" x14ac:dyDescent="0.25"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36"/>
    </row>
    <row r="1270" spans="6:18" x14ac:dyDescent="0.25"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36"/>
    </row>
    <row r="1271" spans="6:18" x14ac:dyDescent="0.25"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6"/>
    </row>
    <row r="1272" spans="6:18" x14ac:dyDescent="0.25"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  <c r="P1272" s="36"/>
      <c r="Q1272" s="36"/>
      <c r="R1272" s="36"/>
    </row>
    <row r="1273" spans="6:18" x14ac:dyDescent="0.25"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</row>
    <row r="1274" spans="6:18" x14ac:dyDescent="0.25"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  <c r="P1274" s="36"/>
      <c r="Q1274" s="36"/>
      <c r="R1274" s="36"/>
    </row>
    <row r="1275" spans="6:18" x14ac:dyDescent="0.25"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36"/>
    </row>
    <row r="1276" spans="6:18" x14ac:dyDescent="0.25"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36"/>
      <c r="Q1276" s="36"/>
      <c r="R1276" s="36"/>
    </row>
    <row r="1277" spans="6:18" x14ac:dyDescent="0.25"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</row>
    <row r="1278" spans="6:18" x14ac:dyDescent="0.25"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</row>
    <row r="1279" spans="6:18" x14ac:dyDescent="0.25"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</row>
    <row r="1280" spans="6:18" x14ac:dyDescent="0.25"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</row>
    <row r="1281" spans="6:18" x14ac:dyDescent="0.25"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  <c r="Q1281" s="36"/>
      <c r="R1281" s="36"/>
    </row>
    <row r="1282" spans="6:18" x14ac:dyDescent="0.25"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  <c r="P1282" s="36"/>
      <c r="Q1282" s="36"/>
      <c r="R1282" s="36"/>
    </row>
    <row r="1283" spans="6:18" x14ac:dyDescent="0.25"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</row>
    <row r="1284" spans="6:18" x14ac:dyDescent="0.25">
      <c r="F1284" s="36"/>
      <c r="G1284" s="36"/>
      <c r="H1284" s="36"/>
      <c r="I1284" s="36"/>
      <c r="J1284" s="36"/>
      <c r="K1284" s="36"/>
      <c r="L1284" s="36"/>
      <c r="M1284" s="36"/>
      <c r="N1284" s="36"/>
      <c r="O1284" s="36"/>
      <c r="P1284" s="36"/>
      <c r="Q1284" s="36"/>
      <c r="R1284" s="36"/>
    </row>
    <row r="1285" spans="6:18" x14ac:dyDescent="0.25"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6"/>
    </row>
    <row r="1286" spans="6:18" x14ac:dyDescent="0.25"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36"/>
    </row>
    <row r="1287" spans="6:18" x14ac:dyDescent="0.25"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  <c r="P1287" s="36"/>
      <c r="Q1287" s="36"/>
      <c r="R1287" s="36"/>
    </row>
    <row r="1288" spans="6:18" x14ac:dyDescent="0.25"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  <c r="Q1288" s="36"/>
      <c r="R1288" s="36"/>
    </row>
    <row r="1289" spans="6:18" x14ac:dyDescent="0.25"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36"/>
    </row>
    <row r="1290" spans="6:18" x14ac:dyDescent="0.25"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36"/>
    </row>
    <row r="1291" spans="6:18" x14ac:dyDescent="0.25"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  <c r="P1291" s="36"/>
      <c r="Q1291" s="36"/>
      <c r="R1291" s="36"/>
    </row>
    <row r="1292" spans="6:18" x14ac:dyDescent="0.25"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36"/>
    </row>
    <row r="1293" spans="6:18" x14ac:dyDescent="0.25"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6"/>
    </row>
    <row r="1294" spans="6:18" x14ac:dyDescent="0.25"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  <c r="P1294" s="36"/>
      <c r="Q1294" s="36"/>
      <c r="R1294" s="36"/>
    </row>
    <row r="1295" spans="6:18" x14ac:dyDescent="0.25"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6"/>
    </row>
    <row r="1296" spans="6:18" x14ac:dyDescent="0.25"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  <c r="Q1296" s="36"/>
      <c r="R1296" s="36"/>
    </row>
    <row r="1297" spans="6:18" x14ac:dyDescent="0.25"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</row>
    <row r="1298" spans="6:18" x14ac:dyDescent="0.25"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6"/>
    </row>
    <row r="1299" spans="6:18" x14ac:dyDescent="0.25"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36"/>
    </row>
    <row r="1300" spans="6:18" x14ac:dyDescent="0.25"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  <c r="P1300" s="36"/>
      <c r="Q1300" s="36"/>
      <c r="R1300" s="36"/>
    </row>
    <row r="1301" spans="6:18" x14ac:dyDescent="0.25"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36"/>
    </row>
    <row r="1302" spans="6:18" x14ac:dyDescent="0.25"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  <c r="P1302" s="36"/>
      <c r="Q1302" s="36"/>
      <c r="R1302" s="36"/>
    </row>
    <row r="1303" spans="6:18" x14ac:dyDescent="0.25"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</row>
    <row r="1304" spans="6:18" x14ac:dyDescent="0.25"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36"/>
    </row>
    <row r="1305" spans="6:18" x14ac:dyDescent="0.25"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</row>
    <row r="1306" spans="6:18" x14ac:dyDescent="0.25"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</row>
    <row r="1307" spans="6:18" x14ac:dyDescent="0.25"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6"/>
    </row>
    <row r="1308" spans="6:18" x14ac:dyDescent="0.25"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6"/>
    </row>
    <row r="1309" spans="6:18" x14ac:dyDescent="0.25"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6"/>
    </row>
    <row r="1310" spans="6:18" x14ac:dyDescent="0.25"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36"/>
    </row>
    <row r="1311" spans="6:18" x14ac:dyDescent="0.25"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6"/>
    </row>
    <row r="1312" spans="6:18" x14ac:dyDescent="0.25"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</row>
    <row r="1313" spans="6:18" x14ac:dyDescent="0.25"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</row>
    <row r="1314" spans="6:18" x14ac:dyDescent="0.25"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6"/>
    </row>
    <row r="1315" spans="6:18" x14ac:dyDescent="0.25"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6"/>
    </row>
    <row r="1316" spans="6:18" x14ac:dyDescent="0.25"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6"/>
    </row>
    <row r="1317" spans="6:18" x14ac:dyDescent="0.25"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</row>
    <row r="1318" spans="6:18" x14ac:dyDescent="0.25"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</row>
    <row r="1319" spans="6:18" x14ac:dyDescent="0.25"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</row>
    <row r="1320" spans="6:18" x14ac:dyDescent="0.25"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6"/>
    </row>
    <row r="1321" spans="6:18" x14ac:dyDescent="0.25"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6"/>
    </row>
    <row r="1322" spans="6:18" x14ac:dyDescent="0.25"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6"/>
    </row>
    <row r="1323" spans="6:18" x14ac:dyDescent="0.25"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</row>
    <row r="1324" spans="6:18" x14ac:dyDescent="0.25"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6"/>
    </row>
    <row r="1325" spans="6:18" x14ac:dyDescent="0.25"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6"/>
    </row>
    <row r="1326" spans="6:18" x14ac:dyDescent="0.25"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6"/>
    </row>
    <row r="1327" spans="6:18" x14ac:dyDescent="0.25"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6"/>
    </row>
    <row r="1328" spans="6:18" x14ac:dyDescent="0.25"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6"/>
    </row>
    <row r="1329" spans="6:18" x14ac:dyDescent="0.25"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6"/>
    </row>
    <row r="1330" spans="6:18" x14ac:dyDescent="0.25"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6"/>
    </row>
    <row r="1331" spans="6:18" x14ac:dyDescent="0.25"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6"/>
    </row>
    <row r="1332" spans="6:18" x14ac:dyDescent="0.25"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6"/>
    </row>
    <row r="1333" spans="6:18" x14ac:dyDescent="0.25"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</row>
    <row r="1334" spans="6:18" x14ac:dyDescent="0.25"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6"/>
    </row>
    <row r="1335" spans="6:18" x14ac:dyDescent="0.25"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6"/>
    </row>
    <row r="1336" spans="6:18" x14ac:dyDescent="0.25"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6"/>
    </row>
    <row r="1337" spans="6:18" x14ac:dyDescent="0.25"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</row>
    <row r="1338" spans="6:18" x14ac:dyDescent="0.25"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6"/>
    </row>
    <row r="1339" spans="6:18" x14ac:dyDescent="0.25"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6"/>
    </row>
    <row r="1340" spans="6:18" x14ac:dyDescent="0.25"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6"/>
    </row>
    <row r="1341" spans="6:18" x14ac:dyDescent="0.25"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6"/>
    </row>
    <row r="1342" spans="6:18" x14ac:dyDescent="0.25"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6"/>
    </row>
    <row r="1343" spans="6:18" x14ac:dyDescent="0.25"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</row>
    <row r="1344" spans="6:18" x14ac:dyDescent="0.25"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6"/>
    </row>
    <row r="1345" spans="6:18" x14ac:dyDescent="0.25"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</row>
    <row r="1346" spans="6:18" x14ac:dyDescent="0.25"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6"/>
    </row>
    <row r="1347" spans="6:18" x14ac:dyDescent="0.25"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6"/>
    </row>
    <row r="1348" spans="6:18" x14ac:dyDescent="0.25"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6"/>
    </row>
    <row r="1349" spans="6:18" x14ac:dyDescent="0.25"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6"/>
    </row>
    <row r="1350" spans="6:18" x14ac:dyDescent="0.25"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6"/>
    </row>
    <row r="1351" spans="6:18" x14ac:dyDescent="0.25"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6"/>
    </row>
    <row r="1352" spans="6:18" x14ac:dyDescent="0.25"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6"/>
    </row>
    <row r="1353" spans="6:18" x14ac:dyDescent="0.25"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</row>
    <row r="1354" spans="6:18" x14ac:dyDescent="0.25"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</row>
    <row r="1355" spans="6:18" x14ac:dyDescent="0.25"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</row>
    <row r="1356" spans="6:18" x14ac:dyDescent="0.25"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</row>
    <row r="1357" spans="6:18" x14ac:dyDescent="0.25"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6"/>
    </row>
    <row r="1358" spans="6:18" x14ac:dyDescent="0.25"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6"/>
    </row>
    <row r="1359" spans="6:18" x14ac:dyDescent="0.25"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</row>
    <row r="1360" spans="6:18" x14ac:dyDescent="0.25"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6"/>
    </row>
    <row r="1361" spans="6:18" x14ac:dyDescent="0.25"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6"/>
    </row>
    <row r="1362" spans="6:18" x14ac:dyDescent="0.25"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6"/>
    </row>
    <row r="1363" spans="6:18" x14ac:dyDescent="0.25"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</row>
    <row r="1364" spans="6:18" x14ac:dyDescent="0.25"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6"/>
    </row>
    <row r="1365" spans="6:18" x14ac:dyDescent="0.25"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</row>
    <row r="1366" spans="6:18" x14ac:dyDescent="0.25"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6"/>
    </row>
    <row r="1367" spans="6:18" x14ac:dyDescent="0.25"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</row>
    <row r="1368" spans="6:18" x14ac:dyDescent="0.25"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6"/>
    </row>
    <row r="1369" spans="6:18" x14ac:dyDescent="0.25"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6"/>
    </row>
    <row r="1370" spans="6:18" x14ac:dyDescent="0.25"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6"/>
    </row>
    <row r="1371" spans="6:18" x14ac:dyDescent="0.25"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6"/>
    </row>
    <row r="1372" spans="6:18" x14ac:dyDescent="0.25"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6"/>
    </row>
    <row r="1373" spans="6:18" x14ac:dyDescent="0.25"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6"/>
    </row>
    <row r="1374" spans="6:18" x14ac:dyDescent="0.25"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6"/>
    </row>
    <row r="1375" spans="6:18" x14ac:dyDescent="0.25"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6"/>
    </row>
    <row r="1376" spans="6:18" x14ac:dyDescent="0.25"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6"/>
    </row>
    <row r="1377" spans="6:18" x14ac:dyDescent="0.25"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6"/>
    </row>
    <row r="1378" spans="6:18" x14ac:dyDescent="0.25"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6"/>
    </row>
    <row r="1379" spans="6:18" x14ac:dyDescent="0.25"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6"/>
    </row>
    <row r="1380" spans="6:18" x14ac:dyDescent="0.25"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6"/>
    </row>
    <row r="1381" spans="6:18" x14ac:dyDescent="0.25"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6"/>
    </row>
    <row r="1382" spans="6:18" x14ac:dyDescent="0.25"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6"/>
    </row>
    <row r="1383" spans="6:18" x14ac:dyDescent="0.25"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6"/>
    </row>
    <row r="1384" spans="6:18" x14ac:dyDescent="0.25"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6"/>
    </row>
    <row r="1385" spans="6:18" x14ac:dyDescent="0.25"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6"/>
    </row>
    <row r="1386" spans="6:18" x14ac:dyDescent="0.25"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6"/>
    </row>
    <row r="1387" spans="6:18" x14ac:dyDescent="0.25"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6"/>
    </row>
    <row r="1388" spans="6:18" x14ac:dyDescent="0.25"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6"/>
    </row>
    <row r="1389" spans="6:18" x14ac:dyDescent="0.25"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6"/>
    </row>
    <row r="1390" spans="6:18" x14ac:dyDescent="0.25"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6"/>
    </row>
    <row r="1391" spans="6:18" x14ac:dyDescent="0.25"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6"/>
    </row>
    <row r="1392" spans="6:18" x14ac:dyDescent="0.25"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6"/>
    </row>
    <row r="1393" spans="6:18" x14ac:dyDescent="0.25"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6"/>
    </row>
    <row r="1394" spans="6:18" x14ac:dyDescent="0.25"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6"/>
    </row>
    <row r="1395" spans="6:18" x14ac:dyDescent="0.25"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6"/>
    </row>
    <row r="1396" spans="6:18" x14ac:dyDescent="0.25"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6"/>
    </row>
    <row r="1397" spans="6:18" x14ac:dyDescent="0.25"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6"/>
    </row>
    <row r="1398" spans="6:18" x14ac:dyDescent="0.25"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6"/>
    </row>
    <row r="1399" spans="6:18" x14ac:dyDescent="0.25"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6"/>
    </row>
    <row r="1400" spans="6:18" x14ac:dyDescent="0.25"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6"/>
    </row>
    <row r="1401" spans="6:18" x14ac:dyDescent="0.25"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6"/>
    </row>
    <row r="1402" spans="6:18" x14ac:dyDescent="0.25"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6"/>
    </row>
    <row r="1403" spans="6:18" x14ac:dyDescent="0.25"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6"/>
    </row>
    <row r="1404" spans="6:18" x14ac:dyDescent="0.25"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6"/>
    </row>
    <row r="1405" spans="6:18" x14ac:dyDescent="0.25"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6"/>
    </row>
    <row r="1406" spans="6:18" x14ac:dyDescent="0.25"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6"/>
    </row>
    <row r="1407" spans="6:18" x14ac:dyDescent="0.25"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6"/>
    </row>
    <row r="1408" spans="6:18" x14ac:dyDescent="0.25"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6"/>
    </row>
    <row r="1409" spans="6:18" x14ac:dyDescent="0.25"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6"/>
    </row>
    <row r="1410" spans="6:18" x14ac:dyDescent="0.25"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6"/>
    </row>
    <row r="1411" spans="6:18" x14ac:dyDescent="0.25"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6"/>
    </row>
    <row r="1412" spans="6:18" x14ac:dyDescent="0.25"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6"/>
    </row>
    <row r="1413" spans="6:18" x14ac:dyDescent="0.25"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6"/>
    </row>
    <row r="1414" spans="6:18" x14ac:dyDescent="0.25"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6"/>
    </row>
    <row r="1415" spans="6:18" x14ac:dyDescent="0.25"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6"/>
    </row>
    <row r="1416" spans="6:18" x14ac:dyDescent="0.25"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6"/>
    </row>
    <row r="1417" spans="6:18" x14ac:dyDescent="0.25"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6"/>
    </row>
    <row r="1418" spans="6:18" x14ac:dyDescent="0.25"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6"/>
    </row>
    <row r="1419" spans="6:18" x14ac:dyDescent="0.25"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6"/>
    </row>
    <row r="1420" spans="6:18" x14ac:dyDescent="0.25"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6"/>
    </row>
    <row r="1421" spans="6:18" x14ac:dyDescent="0.25"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6"/>
    </row>
    <row r="1422" spans="6:18" x14ac:dyDescent="0.25"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6"/>
    </row>
    <row r="1423" spans="6:18" x14ac:dyDescent="0.25"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6"/>
    </row>
    <row r="1424" spans="6:18" x14ac:dyDescent="0.25"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6"/>
    </row>
    <row r="1425" spans="6:18" x14ac:dyDescent="0.25"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6"/>
    </row>
    <row r="1426" spans="6:18" x14ac:dyDescent="0.25"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6"/>
    </row>
    <row r="1427" spans="6:18" x14ac:dyDescent="0.25"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6"/>
    </row>
    <row r="1428" spans="6:18" x14ac:dyDescent="0.25"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6"/>
    </row>
    <row r="1429" spans="6:18" x14ac:dyDescent="0.25"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6"/>
    </row>
    <row r="1430" spans="6:18" x14ac:dyDescent="0.25"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6"/>
    </row>
    <row r="1431" spans="6:18" x14ac:dyDescent="0.25"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6"/>
    </row>
    <row r="1432" spans="6:18" x14ac:dyDescent="0.25"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6"/>
    </row>
    <row r="1433" spans="6:18" x14ac:dyDescent="0.25"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6"/>
    </row>
    <row r="1434" spans="6:18" x14ac:dyDescent="0.25"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6"/>
    </row>
    <row r="1435" spans="6:18" x14ac:dyDescent="0.25"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6"/>
    </row>
    <row r="1436" spans="6:18" x14ac:dyDescent="0.25"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6"/>
    </row>
    <row r="1437" spans="6:18" x14ac:dyDescent="0.25"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6"/>
    </row>
    <row r="1438" spans="6:18" x14ac:dyDescent="0.25"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6"/>
    </row>
    <row r="1439" spans="6:18" x14ac:dyDescent="0.25"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6"/>
    </row>
    <row r="1440" spans="6:18" x14ac:dyDescent="0.25"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6"/>
    </row>
    <row r="1441" spans="6:18" x14ac:dyDescent="0.25"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6"/>
    </row>
    <row r="1442" spans="6:18" x14ac:dyDescent="0.25"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6"/>
    </row>
    <row r="1443" spans="6:18" x14ac:dyDescent="0.25"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6"/>
    </row>
    <row r="1444" spans="6:18" x14ac:dyDescent="0.25"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6"/>
    </row>
    <row r="1445" spans="6:18" x14ac:dyDescent="0.25"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6"/>
    </row>
    <row r="1446" spans="6:18" x14ac:dyDescent="0.25"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6"/>
    </row>
    <row r="1447" spans="6:18" x14ac:dyDescent="0.25"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6"/>
    </row>
    <row r="1448" spans="6:18" x14ac:dyDescent="0.25"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6"/>
    </row>
    <row r="1449" spans="6:18" x14ac:dyDescent="0.25"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6"/>
    </row>
    <row r="1450" spans="6:18" x14ac:dyDescent="0.25"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6"/>
    </row>
    <row r="1451" spans="6:18" x14ac:dyDescent="0.25"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6"/>
    </row>
    <row r="1452" spans="6:18" x14ac:dyDescent="0.25"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6"/>
    </row>
    <row r="1453" spans="6:18" x14ac:dyDescent="0.25"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6"/>
    </row>
    <row r="1454" spans="6:18" x14ac:dyDescent="0.25"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6"/>
    </row>
    <row r="1455" spans="6:18" x14ac:dyDescent="0.25"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6"/>
    </row>
    <row r="1456" spans="6:18" x14ac:dyDescent="0.25"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6"/>
    </row>
    <row r="1457" spans="6:18" x14ac:dyDescent="0.25"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6"/>
    </row>
    <row r="1458" spans="6:18" x14ac:dyDescent="0.25"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6"/>
    </row>
    <row r="1459" spans="6:18" x14ac:dyDescent="0.25"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6"/>
    </row>
    <row r="1460" spans="6:18" x14ac:dyDescent="0.25"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6"/>
    </row>
    <row r="1461" spans="6:18" x14ac:dyDescent="0.25"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6"/>
    </row>
    <row r="1462" spans="6:18" x14ac:dyDescent="0.25"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6"/>
    </row>
    <row r="1463" spans="6:18" x14ac:dyDescent="0.25"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6"/>
    </row>
    <row r="1464" spans="6:18" x14ac:dyDescent="0.25"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6"/>
    </row>
    <row r="1465" spans="6:18" x14ac:dyDescent="0.25"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6"/>
    </row>
    <row r="1466" spans="6:18" x14ac:dyDescent="0.25"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6"/>
    </row>
    <row r="1467" spans="6:18" x14ac:dyDescent="0.25"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6"/>
    </row>
    <row r="1468" spans="6:18" x14ac:dyDescent="0.25"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6"/>
    </row>
    <row r="1469" spans="6:18" x14ac:dyDescent="0.25"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6"/>
    </row>
    <row r="1470" spans="6:18" x14ac:dyDescent="0.25"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6"/>
    </row>
    <row r="1471" spans="6:18" x14ac:dyDescent="0.25"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6"/>
    </row>
    <row r="1472" spans="6:18" x14ac:dyDescent="0.25"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6"/>
    </row>
    <row r="1473" spans="6:18" x14ac:dyDescent="0.25"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6"/>
    </row>
    <row r="1474" spans="6:18" x14ac:dyDescent="0.25"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6"/>
    </row>
    <row r="1475" spans="6:18" x14ac:dyDescent="0.25"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6"/>
    </row>
    <row r="1476" spans="6:18" x14ac:dyDescent="0.25"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6"/>
    </row>
    <row r="1477" spans="6:18" x14ac:dyDescent="0.25"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6"/>
    </row>
    <row r="1478" spans="6:18" x14ac:dyDescent="0.25"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6"/>
    </row>
    <row r="1479" spans="6:18" x14ac:dyDescent="0.25"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6"/>
    </row>
    <row r="1480" spans="6:18" x14ac:dyDescent="0.25"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6"/>
    </row>
    <row r="1481" spans="6:18" x14ac:dyDescent="0.25"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6"/>
    </row>
    <row r="1482" spans="6:18" x14ac:dyDescent="0.25"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6"/>
    </row>
    <row r="1483" spans="6:18" x14ac:dyDescent="0.25"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6"/>
    </row>
    <row r="1484" spans="6:18" x14ac:dyDescent="0.25"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6"/>
    </row>
    <row r="1485" spans="6:18" x14ac:dyDescent="0.25"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6"/>
    </row>
    <row r="1486" spans="6:18" x14ac:dyDescent="0.25"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6"/>
    </row>
    <row r="1487" spans="6:18" x14ac:dyDescent="0.25"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6"/>
    </row>
    <row r="1488" spans="6:18" x14ac:dyDescent="0.25"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6"/>
    </row>
    <row r="1489" spans="6:18" x14ac:dyDescent="0.25"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6"/>
    </row>
    <row r="1490" spans="6:18" x14ac:dyDescent="0.25"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6"/>
    </row>
    <row r="1491" spans="6:18" x14ac:dyDescent="0.25"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6"/>
    </row>
    <row r="1492" spans="6:18" x14ac:dyDescent="0.25"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6"/>
    </row>
    <row r="1493" spans="6:18" x14ac:dyDescent="0.25"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6"/>
    </row>
    <row r="1494" spans="6:18" x14ac:dyDescent="0.25"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6"/>
    </row>
    <row r="1495" spans="6:18" x14ac:dyDescent="0.25"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6"/>
    </row>
    <row r="1496" spans="6:18" x14ac:dyDescent="0.25"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6"/>
    </row>
    <row r="1497" spans="6:18" x14ac:dyDescent="0.25"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6"/>
    </row>
    <row r="1498" spans="6:18" x14ac:dyDescent="0.25"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6"/>
    </row>
    <row r="1499" spans="6:18" x14ac:dyDescent="0.25"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6"/>
    </row>
    <row r="1500" spans="6:18" x14ac:dyDescent="0.25"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6"/>
    </row>
    <row r="1501" spans="6:18" x14ac:dyDescent="0.25"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6"/>
    </row>
    <row r="1502" spans="6:18" x14ac:dyDescent="0.25"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6"/>
    </row>
    <row r="1503" spans="6:18" x14ac:dyDescent="0.25"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6"/>
    </row>
    <row r="1504" spans="6:18" x14ac:dyDescent="0.25"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6"/>
    </row>
    <row r="1505" spans="6:18" x14ac:dyDescent="0.25"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6"/>
    </row>
    <row r="1506" spans="6:18" x14ac:dyDescent="0.25"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6"/>
    </row>
    <row r="1507" spans="6:18" x14ac:dyDescent="0.25"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6"/>
    </row>
    <row r="1508" spans="6:18" x14ac:dyDescent="0.25"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6"/>
    </row>
    <row r="1509" spans="6:18" x14ac:dyDescent="0.25"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6"/>
    </row>
    <row r="1510" spans="6:18" x14ac:dyDescent="0.25"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6"/>
    </row>
    <row r="1511" spans="6:18" x14ac:dyDescent="0.25"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6"/>
    </row>
    <row r="1512" spans="6:18" x14ac:dyDescent="0.25"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6"/>
    </row>
    <row r="1513" spans="6:18" x14ac:dyDescent="0.25"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6"/>
    </row>
    <row r="1514" spans="6:18" x14ac:dyDescent="0.25"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6"/>
    </row>
    <row r="1515" spans="6:18" x14ac:dyDescent="0.25"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6"/>
    </row>
    <row r="1516" spans="6:18" x14ac:dyDescent="0.25"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6"/>
    </row>
    <row r="1517" spans="6:18" x14ac:dyDescent="0.25"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6"/>
    </row>
    <row r="1518" spans="6:18" x14ac:dyDescent="0.25"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6"/>
    </row>
    <row r="1519" spans="6:18" x14ac:dyDescent="0.25"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6"/>
    </row>
    <row r="1520" spans="6:18" x14ac:dyDescent="0.25"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6"/>
    </row>
    <row r="1521" spans="6:18" x14ac:dyDescent="0.25"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6"/>
    </row>
    <row r="1522" spans="6:18" x14ac:dyDescent="0.25"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6"/>
    </row>
    <row r="1523" spans="6:18" x14ac:dyDescent="0.25"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6"/>
    </row>
    <row r="1524" spans="6:18" x14ac:dyDescent="0.25"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6"/>
    </row>
    <row r="1525" spans="6:18" x14ac:dyDescent="0.25"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6"/>
    </row>
    <row r="1526" spans="6:18" x14ac:dyDescent="0.25"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6"/>
    </row>
    <row r="1527" spans="6:18" x14ac:dyDescent="0.25"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6"/>
    </row>
    <row r="1528" spans="6:18" x14ac:dyDescent="0.25"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6"/>
    </row>
    <row r="1529" spans="6:18" x14ac:dyDescent="0.25"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6"/>
    </row>
    <row r="1530" spans="6:18" x14ac:dyDescent="0.25"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6"/>
    </row>
    <row r="1531" spans="6:18" x14ac:dyDescent="0.25"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6"/>
    </row>
    <row r="1532" spans="6:18" x14ac:dyDescent="0.25"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6"/>
    </row>
    <row r="1533" spans="6:18" x14ac:dyDescent="0.25"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6"/>
    </row>
    <row r="1534" spans="6:18" x14ac:dyDescent="0.25"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6"/>
    </row>
    <row r="1535" spans="6:18" x14ac:dyDescent="0.25"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6"/>
    </row>
    <row r="1536" spans="6:18" x14ac:dyDescent="0.25"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6"/>
    </row>
    <row r="1537" spans="6:18" x14ac:dyDescent="0.25"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6"/>
    </row>
    <row r="1538" spans="6:18" x14ac:dyDescent="0.25"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6"/>
    </row>
    <row r="1539" spans="6:18" x14ac:dyDescent="0.25"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6"/>
    </row>
    <row r="1540" spans="6:18" x14ac:dyDescent="0.25"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6"/>
    </row>
    <row r="1541" spans="6:18" x14ac:dyDescent="0.25"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6"/>
    </row>
    <row r="1542" spans="6:18" x14ac:dyDescent="0.25"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6"/>
    </row>
    <row r="1543" spans="6:18" x14ac:dyDescent="0.25"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6"/>
    </row>
    <row r="1544" spans="6:18" x14ac:dyDescent="0.25"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6"/>
    </row>
    <row r="1545" spans="6:18" x14ac:dyDescent="0.25"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6"/>
    </row>
    <row r="1546" spans="6:18" x14ac:dyDescent="0.25"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6"/>
    </row>
    <row r="1547" spans="6:18" x14ac:dyDescent="0.25"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6"/>
    </row>
    <row r="1548" spans="6:18" x14ac:dyDescent="0.25"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6"/>
    </row>
    <row r="1549" spans="6:18" x14ac:dyDescent="0.25"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6"/>
    </row>
    <row r="1550" spans="6:18" x14ac:dyDescent="0.25"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6"/>
    </row>
    <row r="1551" spans="6:18" x14ac:dyDescent="0.25"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6"/>
    </row>
    <row r="1552" spans="6:18" x14ac:dyDescent="0.25"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6"/>
    </row>
    <row r="1553" spans="6:18" x14ac:dyDescent="0.25"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6"/>
    </row>
    <row r="1554" spans="6:18" x14ac:dyDescent="0.25"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6"/>
    </row>
    <row r="1555" spans="6:18" x14ac:dyDescent="0.25"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6"/>
    </row>
    <row r="1556" spans="6:18" x14ac:dyDescent="0.25"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6"/>
    </row>
    <row r="1557" spans="6:18" x14ac:dyDescent="0.25"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6"/>
    </row>
    <row r="1558" spans="6:18" x14ac:dyDescent="0.25"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6"/>
    </row>
    <row r="1559" spans="6:18" x14ac:dyDescent="0.25"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6"/>
    </row>
    <row r="1560" spans="6:18" x14ac:dyDescent="0.25"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6"/>
    </row>
    <row r="1561" spans="6:18" x14ac:dyDescent="0.25"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6"/>
    </row>
    <row r="1562" spans="6:18" x14ac:dyDescent="0.25"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6"/>
    </row>
    <row r="1563" spans="6:18" x14ac:dyDescent="0.25"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6"/>
    </row>
    <row r="1564" spans="6:18" x14ac:dyDescent="0.25"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6"/>
    </row>
    <row r="1565" spans="6:18" x14ac:dyDescent="0.25"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6"/>
    </row>
    <row r="1566" spans="6:18" x14ac:dyDescent="0.25"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6"/>
    </row>
    <row r="1567" spans="6:18" x14ac:dyDescent="0.25"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6"/>
    </row>
    <row r="1568" spans="6:18" x14ac:dyDescent="0.25"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6"/>
    </row>
    <row r="1569" spans="6:18" x14ac:dyDescent="0.25"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6"/>
    </row>
    <row r="1570" spans="6:18" x14ac:dyDescent="0.25"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6"/>
    </row>
    <row r="1571" spans="6:18" x14ac:dyDescent="0.25"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6"/>
    </row>
    <row r="1572" spans="6:18" x14ac:dyDescent="0.25"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6"/>
    </row>
    <row r="1573" spans="6:18" x14ac:dyDescent="0.25"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6"/>
    </row>
    <row r="1574" spans="6:18" x14ac:dyDescent="0.25"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6"/>
    </row>
    <row r="1575" spans="6:18" x14ac:dyDescent="0.25"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6"/>
    </row>
    <row r="1576" spans="6:18" x14ac:dyDescent="0.25"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6"/>
    </row>
    <row r="1577" spans="6:18" x14ac:dyDescent="0.25"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6"/>
    </row>
    <row r="1578" spans="6:18" x14ac:dyDescent="0.25"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6"/>
    </row>
    <row r="1579" spans="6:18" x14ac:dyDescent="0.25"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6"/>
    </row>
    <row r="1580" spans="6:18" x14ac:dyDescent="0.25"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6"/>
    </row>
    <row r="1581" spans="6:18" x14ac:dyDescent="0.25"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6"/>
    </row>
    <row r="1582" spans="6:18" x14ac:dyDescent="0.25"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6"/>
    </row>
    <row r="1583" spans="6:18" x14ac:dyDescent="0.25"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6"/>
    </row>
    <row r="1584" spans="6:18" x14ac:dyDescent="0.25"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6"/>
    </row>
    <row r="1585" spans="6:18" x14ac:dyDescent="0.25"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6"/>
    </row>
    <row r="1586" spans="6:18" x14ac:dyDescent="0.25"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6"/>
    </row>
    <row r="1587" spans="6:18" x14ac:dyDescent="0.25"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6"/>
    </row>
    <row r="1588" spans="6:18" x14ac:dyDescent="0.25"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6"/>
    </row>
    <row r="1589" spans="6:18" x14ac:dyDescent="0.25"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6"/>
    </row>
    <row r="1590" spans="6:18" x14ac:dyDescent="0.25"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6"/>
    </row>
    <row r="1591" spans="6:18" x14ac:dyDescent="0.25"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6"/>
    </row>
    <row r="1592" spans="6:18" x14ac:dyDescent="0.25"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6"/>
    </row>
    <row r="1593" spans="6:18" x14ac:dyDescent="0.25"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6"/>
    </row>
    <row r="1594" spans="6:18" x14ac:dyDescent="0.25"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6"/>
    </row>
    <row r="1595" spans="6:18" x14ac:dyDescent="0.25"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6"/>
    </row>
    <row r="1596" spans="6:18" x14ac:dyDescent="0.25"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6"/>
    </row>
    <row r="1597" spans="6:18" x14ac:dyDescent="0.25"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6"/>
    </row>
    <row r="1598" spans="6:18" x14ac:dyDescent="0.25"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6"/>
    </row>
    <row r="1599" spans="6:18" x14ac:dyDescent="0.25"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6"/>
    </row>
    <row r="1600" spans="6:18" x14ac:dyDescent="0.25"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6"/>
    </row>
    <row r="1601" spans="6:18" x14ac:dyDescent="0.25"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6"/>
    </row>
    <row r="1602" spans="6:18" x14ac:dyDescent="0.25"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6"/>
    </row>
    <row r="1603" spans="6:18" x14ac:dyDescent="0.25"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6"/>
    </row>
    <row r="1604" spans="6:18" x14ac:dyDescent="0.25"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6"/>
    </row>
    <row r="1605" spans="6:18" x14ac:dyDescent="0.25"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6"/>
    </row>
    <row r="1606" spans="6:18" x14ac:dyDescent="0.25"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6"/>
    </row>
    <row r="1607" spans="6:18" x14ac:dyDescent="0.25"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6"/>
    </row>
    <row r="1608" spans="6:18" x14ac:dyDescent="0.25"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6"/>
    </row>
    <row r="1609" spans="6:18" x14ac:dyDescent="0.25"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6"/>
    </row>
    <row r="1610" spans="6:18" x14ac:dyDescent="0.25"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6"/>
    </row>
    <row r="1611" spans="6:18" x14ac:dyDescent="0.25"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6"/>
    </row>
    <row r="1612" spans="6:18" x14ac:dyDescent="0.25"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6"/>
    </row>
    <row r="1613" spans="6:18" x14ac:dyDescent="0.25"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6"/>
    </row>
    <row r="1614" spans="6:18" x14ac:dyDescent="0.25"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6"/>
    </row>
    <row r="1615" spans="6:18" x14ac:dyDescent="0.25"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6"/>
    </row>
    <row r="1616" spans="6:18" x14ac:dyDescent="0.25"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6"/>
    </row>
    <row r="1617" spans="6:18" x14ac:dyDescent="0.25"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6"/>
    </row>
    <row r="1618" spans="6:18" x14ac:dyDescent="0.25"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6"/>
    </row>
    <row r="1619" spans="6:18" x14ac:dyDescent="0.25"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6"/>
    </row>
    <row r="1620" spans="6:18" x14ac:dyDescent="0.25"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6"/>
    </row>
    <row r="1621" spans="6:18" x14ac:dyDescent="0.25"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6"/>
    </row>
    <row r="1622" spans="6:18" x14ac:dyDescent="0.25"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6"/>
    </row>
    <row r="1623" spans="6:18" x14ac:dyDescent="0.25"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6"/>
    </row>
    <row r="1624" spans="6:18" x14ac:dyDescent="0.25"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6"/>
    </row>
    <row r="1625" spans="6:18" x14ac:dyDescent="0.25"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6"/>
    </row>
    <row r="1626" spans="6:18" x14ac:dyDescent="0.25"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6"/>
    </row>
    <row r="1627" spans="6:18" x14ac:dyDescent="0.25"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6"/>
    </row>
    <row r="1628" spans="6:18" x14ac:dyDescent="0.25"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6"/>
    </row>
    <row r="1629" spans="6:18" x14ac:dyDescent="0.25"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6"/>
    </row>
    <row r="1630" spans="6:18" x14ac:dyDescent="0.25"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6"/>
    </row>
    <row r="1631" spans="6:18" x14ac:dyDescent="0.25"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6"/>
    </row>
    <row r="1632" spans="6:18" x14ac:dyDescent="0.25"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6"/>
    </row>
    <row r="1633" spans="6:18" x14ac:dyDescent="0.25"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6"/>
    </row>
    <row r="1634" spans="6:18" x14ac:dyDescent="0.25"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6"/>
    </row>
    <row r="1635" spans="6:18" x14ac:dyDescent="0.25"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6"/>
    </row>
    <row r="1636" spans="6:18" x14ac:dyDescent="0.25"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6"/>
    </row>
    <row r="1637" spans="6:18" x14ac:dyDescent="0.25"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6"/>
    </row>
    <row r="1638" spans="6:18" x14ac:dyDescent="0.25"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6"/>
    </row>
    <row r="1639" spans="6:18" x14ac:dyDescent="0.25"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6"/>
    </row>
    <row r="1640" spans="6:18" x14ac:dyDescent="0.25"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6"/>
    </row>
    <row r="1641" spans="6:18" x14ac:dyDescent="0.25"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6"/>
    </row>
    <row r="1642" spans="6:18" x14ac:dyDescent="0.25"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6"/>
    </row>
    <row r="1643" spans="6:18" x14ac:dyDescent="0.25"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6"/>
    </row>
    <row r="1644" spans="6:18" x14ac:dyDescent="0.25"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6"/>
    </row>
    <row r="1645" spans="6:18" x14ac:dyDescent="0.25"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6"/>
    </row>
    <row r="1646" spans="6:18" x14ac:dyDescent="0.25"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6"/>
    </row>
    <row r="1647" spans="6:18" x14ac:dyDescent="0.25"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6"/>
    </row>
    <row r="1648" spans="6:18" x14ac:dyDescent="0.25"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6"/>
    </row>
    <row r="1649" spans="6:18" x14ac:dyDescent="0.25"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6"/>
    </row>
    <row r="1650" spans="6:18" x14ac:dyDescent="0.25">
      <c r="F1650" s="36"/>
      <c r="G1650" s="36"/>
      <c r="H1650" s="36"/>
      <c r="I1650" s="36"/>
      <c r="J1650" s="36"/>
      <c r="K1650" s="36"/>
      <c r="L1650" s="36"/>
      <c r="M1650" s="36"/>
      <c r="N1650" s="36"/>
      <c r="O1650" s="36"/>
      <c r="P1650" s="36"/>
      <c r="Q1650" s="36"/>
      <c r="R1650" s="36"/>
    </row>
    <row r="1651" spans="6:18" x14ac:dyDescent="0.25">
      <c r="F1651" s="36"/>
      <c r="G1651" s="36"/>
      <c r="H1651" s="36"/>
      <c r="I1651" s="36"/>
      <c r="J1651" s="36"/>
      <c r="K1651" s="36"/>
      <c r="L1651" s="36"/>
      <c r="M1651" s="36"/>
      <c r="N1651" s="36"/>
      <c r="O1651" s="36"/>
      <c r="P1651" s="36"/>
      <c r="Q1651" s="36"/>
      <c r="R1651" s="36"/>
    </row>
    <row r="1652" spans="6:18" x14ac:dyDescent="0.25">
      <c r="F1652" s="36"/>
      <c r="G1652" s="36"/>
      <c r="H1652" s="36"/>
      <c r="I1652" s="36"/>
      <c r="J1652" s="36"/>
      <c r="K1652" s="36"/>
      <c r="L1652" s="36"/>
      <c r="M1652" s="36"/>
      <c r="N1652" s="36"/>
      <c r="O1652" s="36"/>
      <c r="P1652" s="36"/>
      <c r="Q1652" s="36"/>
      <c r="R1652" s="36"/>
    </row>
    <row r="1653" spans="6:18" x14ac:dyDescent="0.25">
      <c r="F1653" s="36"/>
      <c r="G1653" s="36"/>
      <c r="H1653" s="36"/>
      <c r="I1653" s="36"/>
      <c r="J1653" s="36"/>
      <c r="K1653" s="36"/>
      <c r="L1653" s="36"/>
      <c r="M1653" s="36"/>
      <c r="N1653" s="36"/>
      <c r="O1653" s="36"/>
      <c r="P1653" s="36"/>
      <c r="Q1653" s="36"/>
      <c r="R1653" s="36"/>
    </row>
    <row r="1654" spans="6:18" x14ac:dyDescent="0.25">
      <c r="F1654" s="36"/>
      <c r="G1654" s="36"/>
      <c r="H1654" s="36"/>
      <c r="I1654" s="36"/>
      <c r="J1654" s="36"/>
      <c r="K1654" s="36"/>
      <c r="L1654" s="36"/>
      <c r="M1654" s="36"/>
      <c r="N1654" s="36"/>
      <c r="O1654" s="36"/>
      <c r="P1654" s="36"/>
      <c r="Q1654" s="36"/>
      <c r="R1654" s="36"/>
    </row>
    <row r="1655" spans="6:18" x14ac:dyDescent="0.25">
      <c r="F1655" s="36"/>
      <c r="G1655" s="36"/>
      <c r="H1655" s="36"/>
      <c r="I1655" s="36"/>
      <c r="J1655" s="36"/>
      <c r="K1655" s="36"/>
      <c r="L1655" s="36"/>
      <c r="M1655" s="36"/>
      <c r="N1655" s="36"/>
      <c r="O1655" s="36"/>
      <c r="P1655" s="36"/>
      <c r="Q1655" s="36"/>
      <c r="R1655" s="36"/>
    </row>
    <row r="1656" spans="6:18" x14ac:dyDescent="0.25">
      <c r="F1656" s="36"/>
      <c r="G1656" s="36"/>
      <c r="H1656" s="36"/>
      <c r="I1656" s="36"/>
      <c r="J1656" s="36"/>
      <c r="K1656" s="36"/>
      <c r="L1656" s="36"/>
      <c r="M1656" s="36"/>
      <c r="N1656" s="36"/>
      <c r="O1656" s="36"/>
      <c r="P1656" s="36"/>
      <c r="Q1656" s="36"/>
      <c r="R1656" s="36"/>
    </row>
    <row r="1657" spans="6:18" x14ac:dyDescent="0.25">
      <c r="F1657" s="36"/>
      <c r="G1657" s="36"/>
      <c r="H1657" s="36"/>
      <c r="I1657" s="36"/>
      <c r="J1657" s="36"/>
      <c r="K1657" s="36"/>
      <c r="L1657" s="36"/>
      <c r="M1657" s="36"/>
      <c r="N1657" s="36"/>
      <c r="O1657" s="36"/>
      <c r="P1657" s="36"/>
      <c r="Q1657" s="36"/>
      <c r="R1657" s="36"/>
    </row>
    <row r="1658" spans="6:18" x14ac:dyDescent="0.25">
      <c r="F1658" s="36"/>
      <c r="G1658" s="36"/>
      <c r="H1658" s="36"/>
      <c r="I1658" s="36"/>
      <c r="J1658" s="36"/>
      <c r="K1658" s="36"/>
      <c r="L1658" s="36"/>
      <c r="M1658" s="36"/>
      <c r="N1658" s="36"/>
      <c r="O1658" s="36"/>
      <c r="P1658" s="36"/>
      <c r="Q1658" s="36"/>
      <c r="R1658" s="36"/>
    </row>
    <row r="1659" spans="6:18" x14ac:dyDescent="0.25">
      <c r="F1659" s="36"/>
      <c r="G1659" s="36"/>
      <c r="H1659" s="36"/>
      <c r="I1659" s="36"/>
      <c r="J1659" s="36"/>
      <c r="K1659" s="36"/>
      <c r="L1659" s="36"/>
      <c r="M1659" s="36"/>
      <c r="N1659" s="36"/>
      <c r="O1659" s="36"/>
      <c r="P1659" s="36"/>
      <c r="Q1659" s="36"/>
      <c r="R1659" s="36"/>
    </row>
    <row r="1660" spans="6:18" x14ac:dyDescent="0.25">
      <c r="F1660" s="36"/>
      <c r="G1660" s="36"/>
      <c r="H1660" s="36"/>
      <c r="I1660" s="36"/>
      <c r="J1660" s="36"/>
      <c r="K1660" s="36"/>
      <c r="L1660" s="36"/>
      <c r="M1660" s="36"/>
      <c r="N1660" s="36"/>
      <c r="O1660" s="36"/>
      <c r="P1660" s="36"/>
      <c r="Q1660" s="36"/>
      <c r="R1660" s="36"/>
    </row>
    <row r="1661" spans="6:18" x14ac:dyDescent="0.25">
      <c r="F1661" s="36"/>
      <c r="G1661" s="36"/>
      <c r="H1661" s="36"/>
      <c r="I1661" s="36"/>
      <c r="J1661" s="36"/>
      <c r="K1661" s="36"/>
      <c r="L1661" s="36"/>
      <c r="M1661" s="36"/>
      <c r="N1661" s="36"/>
      <c r="O1661" s="36"/>
      <c r="P1661" s="36"/>
      <c r="Q1661" s="36"/>
      <c r="R1661" s="36"/>
    </row>
    <row r="1662" spans="6:18" x14ac:dyDescent="0.25">
      <c r="F1662" s="36"/>
      <c r="G1662" s="36"/>
      <c r="H1662" s="36"/>
      <c r="I1662" s="36"/>
      <c r="J1662" s="36"/>
      <c r="K1662" s="36"/>
      <c r="L1662" s="36"/>
      <c r="M1662" s="36"/>
      <c r="N1662" s="36"/>
      <c r="O1662" s="36"/>
      <c r="P1662" s="36"/>
      <c r="Q1662" s="36"/>
      <c r="R1662" s="36"/>
    </row>
    <row r="1663" spans="6:18" x14ac:dyDescent="0.25">
      <c r="F1663" s="36"/>
      <c r="G1663" s="36"/>
      <c r="H1663" s="36"/>
      <c r="I1663" s="36"/>
      <c r="J1663" s="36"/>
      <c r="K1663" s="36"/>
      <c r="L1663" s="36"/>
      <c r="M1663" s="36"/>
      <c r="N1663" s="36"/>
      <c r="O1663" s="36"/>
      <c r="P1663" s="36"/>
      <c r="Q1663" s="36"/>
      <c r="R1663" s="36"/>
    </row>
    <row r="1664" spans="6:18" x14ac:dyDescent="0.25">
      <c r="F1664" s="36"/>
      <c r="G1664" s="36"/>
      <c r="H1664" s="36"/>
      <c r="I1664" s="36"/>
      <c r="J1664" s="36"/>
      <c r="K1664" s="36"/>
      <c r="L1664" s="36"/>
      <c r="M1664" s="36"/>
      <c r="N1664" s="36"/>
      <c r="O1664" s="36"/>
      <c r="P1664" s="36"/>
      <c r="Q1664" s="36"/>
      <c r="R1664" s="36"/>
    </row>
    <row r="1665" spans="6:18" x14ac:dyDescent="0.25">
      <c r="F1665" s="36"/>
      <c r="G1665" s="36"/>
      <c r="H1665" s="36"/>
      <c r="I1665" s="36"/>
      <c r="J1665" s="36"/>
      <c r="K1665" s="36"/>
      <c r="L1665" s="36"/>
      <c r="M1665" s="36"/>
      <c r="N1665" s="36"/>
      <c r="O1665" s="36"/>
      <c r="P1665" s="36"/>
      <c r="Q1665" s="36"/>
      <c r="R1665" s="36"/>
    </row>
    <row r="1666" spans="6:18" x14ac:dyDescent="0.25">
      <c r="F1666" s="36"/>
      <c r="G1666" s="36"/>
      <c r="H1666" s="36"/>
      <c r="I1666" s="36"/>
      <c r="J1666" s="36"/>
      <c r="K1666" s="36"/>
      <c r="L1666" s="36"/>
      <c r="M1666" s="36"/>
      <c r="N1666" s="36"/>
      <c r="O1666" s="36"/>
      <c r="P1666" s="36"/>
      <c r="Q1666" s="36"/>
      <c r="R1666" s="36"/>
    </row>
    <row r="1667" spans="6:18" x14ac:dyDescent="0.25">
      <c r="F1667" s="36"/>
      <c r="G1667" s="36"/>
      <c r="H1667" s="36"/>
      <c r="I1667" s="36"/>
      <c r="J1667" s="36"/>
      <c r="K1667" s="36"/>
      <c r="L1667" s="36"/>
      <c r="M1667" s="36"/>
      <c r="N1667" s="36"/>
      <c r="O1667" s="36"/>
      <c r="P1667" s="36"/>
      <c r="Q1667" s="36"/>
      <c r="R1667" s="36"/>
    </row>
    <row r="1668" spans="6:18" x14ac:dyDescent="0.25">
      <c r="F1668" s="36"/>
      <c r="G1668" s="36"/>
      <c r="H1668" s="36"/>
      <c r="I1668" s="36"/>
      <c r="J1668" s="36"/>
      <c r="K1668" s="36"/>
      <c r="L1668" s="36"/>
      <c r="M1668" s="36"/>
      <c r="N1668" s="36"/>
      <c r="O1668" s="36"/>
      <c r="P1668" s="36"/>
      <c r="Q1668" s="36"/>
      <c r="R1668" s="36"/>
    </row>
    <row r="1669" spans="6:18" x14ac:dyDescent="0.25">
      <c r="F1669" s="36"/>
      <c r="G1669" s="36"/>
      <c r="H1669" s="36"/>
      <c r="I1669" s="36"/>
      <c r="J1669" s="36"/>
      <c r="K1669" s="36"/>
      <c r="L1669" s="36"/>
      <c r="M1669" s="36"/>
      <c r="N1669" s="36"/>
      <c r="O1669" s="36"/>
      <c r="P1669" s="36"/>
      <c r="Q1669" s="36"/>
      <c r="R1669" s="36"/>
    </row>
    <row r="1670" spans="6:18" x14ac:dyDescent="0.25">
      <c r="F1670" s="36"/>
      <c r="G1670" s="36"/>
      <c r="H1670" s="36"/>
      <c r="I1670" s="36"/>
      <c r="J1670" s="36"/>
      <c r="K1670" s="36"/>
      <c r="L1670" s="36"/>
      <c r="M1670" s="36"/>
      <c r="N1670" s="36"/>
      <c r="O1670" s="36"/>
      <c r="P1670" s="36"/>
      <c r="Q1670" s="36"/>
      <c r="R1670" s="36"/>
    </row>
    <row r="1671" spans="6:18" x14ac:dyDescent="0.25">
      <c r="F1671" s="36"/>
      <c r="G1671" s="36"/>
      <c r="H1671" s="36"/>
      <c r="I1671" s="36"/>
      <c r="J1671" s="36"/>
      <c r="K1671" s="36"/>
      <c r="L1671" s="36"/>
      <c r="M1671" s="36"/>
      <c r="N1671" s="36"/>
      <c r="O1671" s="36"/>
      <c r="P1671" s="36"/>
      <c r="Q1671" s="36"/>
      <c r="R1671" s="36"/>
    </row>
    <row r="1672" spans="6:18" x14ac:dyDescent="0.25">
      <c r="F1672" s="36"/>
      <c r="G1672" s="36"/>
      <c r="H1672" s="36"/>
      <c r="I1672" s="36"/>
      <c r="J1672" s="36"/>
      <c r="K1672" s="36"/>
      <c r="L1672" s="36"/>
      <c r="M1672" s="36"/>
      <c r="N1672" s="36"/>
      <c r="O1672" s="36"/>
      <c r="P1672" s="36"/>
      <c r="Q1672" s="36"/>
      <c r="R1672" s="36"/>
    </row>
    <row r="1673" spans="6:18" x14ac:dyDescent="0.25">
      <c r="F1673" s="36"/>
      <c r="G1673" s="36"/>
      <c r="H1673" s="36"/>
      <c r="I1673" s="36"/>
      <c r="J1673" s="36"/>
      <c r="K1673" s="36"/>
      <c r="L1673" s="36"/>
      <c r="M1673" s="36"/>
      <c r="N1673" s="36"/>
      <c r="O1673" s="36"/>
      <c r="P1673" s="36"/>
      <c r="Q1673" s="36"/>
      <c r="R1673" s="36"/>
    </row>
    <row r="1674" spans="6:18" x14ac:dyDescent="0.25">
      <c r="F1674" s="36"/>
      <c r="G1674" s="36"/>
      <c r="H1674" s="36"/>
      <c r="I1674" s="36"/>
      <c r="J1674" s="36"/>
      <c r="K1674" s="36"/>
      <c r="L1674" s="36"/>
      <c r="M1674" s="36"/>
      <c r="N1674" s="36"/>
      <c r="O1674" s="36"/>
      <c r="P1674" s="36"/>
      <c r="Q1674" s="36"/>
      <c r="R1674" s="36"/>
    </row>
    <row r="1675" spans="6:18" x14ac:dyDescent="0.25">
      <c r="F1675" s="36"/>
      <c r="G1675" s="36"/>
      <c r="H1675" s="36"/>
      <c r="I1675" s="36"/>
      <c r="J1675" s="36"/>
      <c r="K1675" s="36"/>
      <c r="L1675" s="36"/>
      <c r="M1675" s="36"/>
      <c r="N1675" s="36"/>
      <c r="O1675" s="36"/>
      <c r="P1675" s="36"/>
      <c r="Q1675" s="36"/>
      <c r="R1675" s="36"/>
    </row>
    <row r="1676" spans="6:18" x14ac:dyDescent="0.25">
      <c r="F1676" s="36"/>
      <c r="G1676" s="36"/>
      <c r="H1676" s="36"/>
      <c r="I1676" s="36"/>
      <c r="J1676" s="36"/>
      <c r="K1676" s="36"/>
      <c r="L1676" s="36"/>
      <c r="M1676" s="36"/>
      <c r="N1676" s="36"/>
      <c r="O1676" s="36"/>
      <c r="P1676" s="36"/>
      <c r="Q1676" s="36"/>
      <c r="R1676" s="36"/>
    </row>
    <row r="1677" spans="6:18" x14ac:dyDescent="0.25">
      <c r="F1677" s="36"/>
      <c r="G1677" s="36"/>
      <c r="H1677" s="36"/>
      <c r="I1677" s="36"/>
      <c r="J1677" s="36"/>
      <c r="K1677" s="36"/>
      <c r="L1677" s="36"/>
      <c r="M1677" s="36"/>
      <c r="N1677" s="36"/>
      <c r="O1677" s="36"/>
      <c r="P1677" s="36"/>
      <c r="Q1677" s="36"/>
      <c r="R1677" s="36"/>
    </row>
    <row r="1678" spans="6:18" x14ac:dyDescent="0.25">
      <c r="F1678" s="36"/>
      <c r="G1678" s="36"/>
      <c r="H1678" s="36"/>
      <c r="I1678" s="36"/>
      <c r="J1678" s="36"/>
      <c r="K1678" s="36"/>
      <c r="L1678" s="36"/>
      <c r="M1678" s="36"/>
      <c r="N1678" s="36"/>
      <c r="O1678" s="36"/>
      <c r="P1678" s="36"/>
      <c r="Q1678" s="36"/>
      <c r="R1678" s="36"/>
    </row>
    <row r="1679" spans="6:18" x14ac:dyDescent="0.25">
      <c r="F1679" s="36"/>
      <c r="G1679" s="36"/>
      <c r="H1679" s="36"/>
      <c r="I1679" s="36"/>
      <c r="J1679" s="36"/>
      <c r="K1679" s="36"/>
      <c r="L1679" s="36"/>
      <c r="M1679" s="36"/>
      <c r="N1679" s="36"/>
      <c r="O1679" s="36"/>
      <c r="P1679" s="36"/>
      <c r="Q1679" s="36"/>
      <c r="R1679" s="36"/>
    </row>
    <row r="1680" spans="6:18" x14ac:dyDescent="0.25">
      <c r="F1680" s="36"/>
      <c r="G1680" s="36"/>
      <c r="H1680" s="36"/>
      <c r="I1680" s="36"/>
      <c r="J1680" s="36"/>
      <c r="K1680" s="36"/>
      <c r="L1680" s="36"/>
      <c r="M1680" s="36"/>
      <c r="N1680" s="36"/>
      <c r="O1680" s="36"/>
      <c r="P1680" s="36"/>
      <c r="Q1680" s="36"/>
      <c r="R1680" s="36"/>
    </row>
    <row r="1681" spans="6:18" x14ac:dyDescent="0.25">
      <c r="F1681" s="36"/>
      <c r="G1681" s="36"/>
      <c r="H1681" s="36"/>
      <c r="I1681" s="36"/>
      <c r="J1681" s="36"/>
      <c r="K1681" s="36"/>
      <c r="L1681" s="36"/>
      <c r="M1681" s="36"/>
      <c r="N1681" s="36"/>
      <c r="O1681" s="36"/>
      <c r="P1681" s="36"/>
      <c r="Q1681" s="36"/>
      <c r="R1681" s="36"/>
    </row>
    <row r="1682" spans="6:18" x14ac:dyDescent="0.25">
      <c r="F1682" s="36"/>
      <c r="G1682" s="36"/>
      <c r="H1682" s="36"/>
      <c r="I1682" s="36"/>
      <c r="J1682" s="36"/>
      <c r="K1682" s="36"/>
      <c r="L1682" s="36"/>
      <c r="M1682" s="36"/>
      <c r="N1682" s="36"/>
      <c r="O1682" s="36"/>
      <c r="P1682" s="36"/>
      <c r="Q1682" s="36"/>
      <c r="R1682" s="36"/>
    </row>
    <row r="1683" spans="6:18" x14ac:dyDescent="0.25">
      <c r="F1683" s="36"/>
      <c r="G1683" s="36"/>
      <c r="H1683" s="36"/>
      <c r="I1683" s="36"/>
      <c r="J1683" s="36"/>
      <c r="K1683" s="36"/>
      <c r="L1683" s="36"/>
      <c r="M1683" s="36"/>
      <c r="N1683" s="36"/>
      <c r="O1683" s="36"/>
      <c r="P1683" s="36"/>
      <c r="Q1683" s="36"/>
      <c r="R1683" s="36"/>
    </row>
    <row r="1684" spans="6:18" x14ac:dyDescent="0.25">
      <c r="F1684" s="36"/>
      <c r="G1684" s="36"/>
      <c r="H1684" s="36"/>
      <c r="I1684" s="36"/>
      <c r="J1684" s="36"/>
      <c r="K1684" s="36"/>
      <c r="L1684" s="36"/>
      <c r="M1684" s="36"/>
      <c r="N1684" s="36"/>
      <c r="O1684" s="36"/>
      <c r="P1684" s="36"/>
      <c r="Q1684" s="36"/>
      <c r="R1684" s="36"/>
    </row>
    <row r="1685" spans="6:18" x14ac:dyDescent="0.25">
      <c r="F1685" s="36"/>
      <c r="G1685" s="36"/>
      <c r="H1685" s="36"/>
      <c r="I1685" s="36"/>
      <c r="J1685" s="36"/>
      <c r="K1685" s="36"/>
      <c r="L1685" s="36"/>
      <c r="M1685" s="36"/>
      <c r="N1685" s="36"/>
      <c r="O1685" s="36"/>
      <c r="P1685" s="36"/>
      <c r="Q1685" s="36"/>
      <c r="R1685" s="36"/>
    </row>
    <row r="1686" spans="6:18" x14ac:dyDescent="0.25">
      <c r="F1686" s="36"/>
      <c r="G1686" s="36"/>
      <c r="H1686" s="36"/>
      <c r="I1686" s="36"/>
      <c r="J1686" s="36"/>
      <c r="K1686" s="36"/>
      <c r="L1686" s="36"/>
      <c r="M1686" s="36"/>
      <c r="N1686" s="36"/>
      <c r="O1686" s="36"/>
      <c r="P1686" s="36"/>
      <c r="Q1686" s="36"/>
      <c r="R1686" s="36"/>
    </row>
    <row r="1687" spans="6:18" x14ac:dyDescent="0.25"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  <c r="P1687" s="36"/>
      <c r="Q1687" s="36"/>
      <c r="R1687" s="36"/>
    </row>
    <row r="1688" spans="6:18" x14ac:dyDescent="0.25">
      <c r="F1688" s="36"/>
      <c r="G1688" s="36"/>
      <c r="H1688" s="36"/>
      <c r="I1688" s="36"/>
      <c r="J1688" s="36"/>
      <c r="K1688" s="36"/>
      <c r="L1688" s="36"/>
      <c r="M1688" s="36"/>
      <c r="N1688" s="36"/>
      <c r="O1688" s="36"/>
      <c r="P1688" s="36"/>
      <c r="Q1688" s="36"/>
      <c r="R1688" s="36"/>
    </row>
    <row r="1689" spans="6:18" x14ac:dyDescent="0.25">
      <c r="F1689" s="36"/>
      <c r="G1689" s="36"/>
      <c r="H1689" s="36"/>
      <c r="I1689" s="36"/>
      <c r="J1689" s="36"/>
      <c r="K1689" s="36"/>
      <c r="L1689" s="36"/>
      <c r="M1689" s="36"/>
      <c r="N1689" s="36"/>
      <c r="O1689" s="36"/>
      <c r="P1689" s="36"/>
      <c r="Q1689" s="36"/>
      <c r="R1689" s="36"/>
    </row>
    <row r="1690" spans="6:18" x14ac:dyDescent="0.25">
      <c r="F1690" s="36"/>
      <c r="G1690" s="36"/>
      <c r="H1690" s="36"/>
      <c r="I1690" s="36"/>
      <c r="J1690" s="36"/>
      <c r="K1690" s="36"/>
      <c r="L1690" s="36"/>
      <c r="M1690" s="36"/>
      <c r="N1690" s="36"/>
      <c r="O1690" s="36"/>
      <c r="P1690" s="36"/>
      <c r="Q1690" s="36"/>
      <c r="R1690" s="36"/>
    </row>
    <row r="1691" spans="6:18" x14ac:dyDescent="0.25">
      <c r="F1691" s="36"/>
      <c r="G1691" s="36"/>
      <c r="H1691" s="36"/>
      <c r="I1691" s="36"/>
      <c r="J1691" s="36"/>
      <c r="K1691" s="36"/>
      <c r="L1691" s="36"/>
      <c r="M1691" s="36"/>
      <c r="N1691" s="36"/>
      <c r="O1691" s="36"/>
      <c r="P1691" s="36"/>
      <c r="Q1691" s="36"/>
      <c r="R1691" s="36"/>
    </row>
    <row r="1692" spans="6:18" x14ac:dyDescent="0.25">
      <c r="F1692" s="36"/>
      <c r="G1692" s="36"/>
      <c r="H1692" s="36"/>
      <c r="I1692" s="36"/>
      <c r="J1692" s="36"/>
      <c r="K1692" s="36"/>
      <c r="L1692" s="36"/>
      <c r="M1692" s="36"/>
      <c r="N1692" s="36"/>
      <c r="O1692" s="36"/>
      <c r="P1692" s="36"/>
      <c r="Q1692" s="36"/>
      <c r="R1692" s="36"/>
    </row>
    <row r="1693" spans="6:18" x14ac:dyDescent="0.25">
      <c r="F1693" s="36"/>
      <c r="G1693" s="36"/>
      <c r="H1693" s="36"/>
      <c r="I1693" s="36"/>
      <c r="J1693" s="36"/>
      <c r="K1693" s="36"/>
      <c r="L1693" s="36"/>
      <c r="M1693" s="36"/>
      <c r="N1693" s="36"/>
      <c r="O1693" s="36"/>
      <c r="P1693" s="36"/>
      <c r="Q1693" s="36"/>
      <c r="R1693" s="36"/>
    </row>
    <row r="1694" spans="6:18" x14ac:dyDescent="0.25">
      <c r="F1694" s="36"/>
      <c r="G1694" s="36"/>
      <c r="H1694" s="36"/>
      <c r="I1694" s="36"/>
      <c r="J1694" s="36"/>
      <c r="K1694" s="36"/>
      <c r="L1694" s="36"/>
      <c r="M1694" s="36"/>
      <c r="N1694" s="36"/>
      <c r="O1694" s="36"/>
      <c r="P1694" s="36"/>
      <c r="Q1694" s="36"/>
      <c r="R1694" s="36"/>
    </row>
    <row r="1695" spans="6:18" x14ac:dyDescent="0.25">
      <c r="F1695" s="36"/>
      <c r="G1695" s="36"/>
      <c r="H1695" s="36"/>
      <c r="I1695" s="36"/>
      <c r="J1695" s="36"/>
      <c r="K1695" s="36"/>
      <c r="L1695" s="36"/>
      <c r="M1695" s="36"/>
      <c r="N1695" s="36"/>
      <c r="O1695" s="36"/>
      <c r="P1695" s="36"/>
      <c r="Q1695" s="36"/>
      <c r="R1695" s="36"/>
    </row>
    <row r="1696" spans="6:18" x14ac:dyDescent="0.25">
      <c r="F1696" s="36"/>
      <c r="G1696" s="36"/>
      <c r="H1696" s="36"/>
      <c r="I1696" s="36"/>
      <c r="J1696" s="36"/>
      <c r="K1696" s="36"/>
      <c r="L1696" s="36"/>
      <c r="M1696" s="36"/>
      <c r="N1696" s="36"/>
      <c r="O1696" s="36"/>
      <c r="P1696" s="36"/>
      <c r="Q1696" s="36"/>
      <c r="R1696" s="36"/>
    </row>
    <row r="1697" spans="6:18" x14ac:dyDescent="0.25">
      <c r="F1697" s="36"/>
      <c r="G1697" s="36"/>
      <c r="H1697" s="36"/>
      <c r="I1697" s="36"/>
      <c r="J1697" s="36"/>
      <c r="K1697" s="36"/>
      <c r="L1697" s="36"/>
      <c r="M1697" s="36"/>
      <c r="N1697" s="36"/>
      <c r="O1697" s="36"/>
      <c r="P1697" s="36"/>
      <c r="Q1697" s="36"/>
      <c r="R1697" s="36"/>
    </row>
    <row r="1698" spans="6:18" x14ac:dyDescent="0.25">
      <c r="F1698" s="36"/>
      <c r="G1698" s="36"/>
      <c r="H1698" s="36"/>
      <c r="I1698" s="36"/>
      <c r="J1698" s="36"/>
      <c r="K1698" s="36"/>
      <c r="L1698" s="36"/>
      <c r="M1698" s="36"/>
      <c r="N1698" s="36"/>
      <c r="O1698" s="36"/>
      <c r="P1698" s="36"/>
      <c r="Q1698" s="36"/>
      <c r="R1698" s="36"/>
    </row>
    <row r="1699" spans="6:18" x14ac:dyDescent="0.25">
      <c r="F1699" s="36"/>
      <c r="G1699" s="36"/>
      <c r="H1699" s="36"/>
      <c r="I1699" s="36"/>
      <c r="J1699" s="36"/>
      <c r="K1699" s="36"/>
      <c r="L1699" s="36"/>
      <c r="M1699" s="36"/>
      <c r="N1699" s="36"/>
      <c r="O1699" s="36"/>
      <c r="P1699" s="36"/>
      <c r="Q1699" s="36"/>
      <c r="R1699" s="36"/>
    </row>
    <row r="1700" spans="6:18" x14ac:dyDescent="0.25">
      <c r="F1700" s="36"/>
      <c r="G1700" s="36"/>
      <c r="H1700" s="36"/>
      <c r="I1700" s="36"/>
      <c r="J1700" s="36"/>
      <c r="K1700" s="36"/>
      <c r="L1700" s="36"/>
      <c r="M1700" s="36"/>
      <c r="N1700" s="36"/>
      <c r="O1700" s="36"/>
      <c r="P1700" s="36"/>
      <c r="Q1700" s="36"/>
      <c r="R1700" s="36"/>
    </row>
    <row r="1701" spans="6:18" x14ac:dyDescent="0.25">
      <c r="F1701" s="36"/>
      <c r="G1701" s="36"/>
      <c r="H1701" s="36"/>
      <c r="I1701" s="36"/>
      <c r="J1701" s="36"/>
      <c r="K1701" s="36"/>
      <c r="L1701" s="36"/>
      <c r="M1701" s="36"/>
      <c r="N1701" s="36"/>
      <c r="O1701" s="36"/>
      <c r="P1701" s="36"/>
      <c r="Q1701" s="36"/>
      <c r="R1701" s="36"/>
    </row>
    <row r="1702" spans="6:18" x14ac:dyDescent="0.25">
      <c r="F1702" s="36"/>
      <c r="G1702" s="36"/>
      <c r="H1702" s="36"/>
      <c r="I1702" s="36"/>
      <c r="J1702" s="36"/>
      <c r="K1702" s="36"/>
      <c r="L1702" s="36"/>
      <c r="M1702" s="36"/>
      <c r="N1702" s="36"/>
      <c r="O1702" s="36"/>
      <c r="P1702" s="36"/>
      <c r="Q1702" s="36"/>
      <c r="R1702" s="36"/>
    </row>
    <row r="1703" spans="6:18" x14ac:dyDescent="0.25">
      <c r="F1703" s="36"/>
      <c r="G1703" s="36"/>
      <c r="H1703" s="36"/>
      <c r="I1703" s="36"/>
      <c r="J1703" s="36"/>
      <c r="K1703" s="36"/>
      <c r="L1703" s="36"/>
      <c r="M1703" s="36"/>
      <c r="N1703" s="36"/>
      <c r="O1703" s="36"/>
      <c r="P1703" s="36"/>
      <c r="Q1703" s="36"/>
      <c r="R1703" s="36"/>
    </row>
    <row r="1704" spans="6:18" x14ac:dyDescent="0.25">
      <c r="F1704" s="36"/>
      <c r="G1704" s="36"/>
      <c r="H1704" s="36"/>
      <c r="I1704" s="36"/>
      <c r="J1704" s="36"/>
      <c r="K1704" s="36"/>
      <c r="L1704" s="36"/>
      <c r="M1704" s="36"/>
      <c r="N1704" s="36"/>
      <c r="O1704" s="36"/>
      <c r="P1704" s="36"/>
      <c r="Q1704" s="36"/>
      <c r="R1704" s="36"/>
    </row>
    <row r="1705" spans="6:18" x14ac:dyDescent="0.25">
      <c r="F1705" s="36"/>
      <c r="G1705" s="36"/>
      <c r="H1705" s="36"/>
      <c r="I1705" s="36"/>
      <c r="J1705" s="36"/>
      <c r="K1705" s="36"/>
      <c r="L1705" s="36"/>
      <c r="M1705" s="36"/>
      <c r="N1705" s="36"/>
      <c r="O1705" s="36"/>
      <c r="P1705" s="36"/>
      <c r="Q1705" s="36"/>
      <c r="R1705" s="36"/>
    </row>
  </sheetData>
  <mergeCells count="36">
    <mergeCell ref="A922:E922"/>
    <mergeCell ref="A965:E965"/>
    <mergeCell ref="A1006:E1006"/>
    <mergeCell ref="A1044:E1044"/>
    <mergeCell ref="A1099:E1099"/>
    <mergeCell ref="A889:E889"/>
    <mergeCell ref="A513:E513"/>
    <mergeCell ref="A536:E536"/>
    <mergeCell ref="A561:E561"/>
    <mergeCell ref="A584:E584"/>
    <mergeCell ref="A607:E607"/>
    <mergeCell ref="A632:E632"/>
    <mergeCell ref="A684:E684"/>
    <mergeCell ref="A733:E733"/>
    <mergeCell ref="A785:E785"/>
    <mergeCell ref="A815:E815"/>
    <mergeCell ref="A859:E859"/>
    <mergeCell ref="A488:E488"/>
    <mergeCell ref="A157:E157"/>
    <mergeCell ref="A231:E231"/>
    <mergeCell ref="A250:E250"/>
    <mergeCell ref="A283:E283"/>
    <mergeCell ref="A303:E303"/>
    <mergeCell ref="A329:E329"/>
    <mergeCell ref="A349:E349"/>
    <mergeCell ref="A375:E375"/>
    <mergeCell ref="A401:E401"/>
    <mergeCell ref="A431:E431"/>
    <mergeCell ref="A450:E450"/>
    <mergeCell ref="A473:E473"/>
    <mergeCell ref="A118:E118"/>
    <mergeCell ref="A1:E1"/>
    <mergeCell ref="A2:E2"/>
    <mergeCell ref="A3:E3"/>
    <mergeCell ref="A5:E5"/>
    <mergeCell ref="A59:E59"/>
  </mergeCells>
  <pageMargins left="0.70866141732283472" right="0.70866141732283472" top="0.74803149606299213" bottom="0.74803149606299213" header="0.31496062992125984" footer="0.31496062992125984"/>
  <pageSetup scale="25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="120" zoomScaleNormal="120" workbookViewId="0">
      <selection activeCell="E26" sqref="E26"/>
    </sheetView>
  </sheetViews>
  <sheetFormatPr baseColWidth="10" defaultRowHeight="15" x14ac:dyDescent="0.25"/>
  <cols>
    <col min="1" max="1" width="11.85546875" bestFit="1" customWidth="1"/>
    <col min="2" max="2" width="13.28515625" bestFit="1" customWidth="1"/>
    <col min="3" max="3" width="11.85546875" bestFit="1" customWidth="1"/>
    <col min="4" max="4" width="19.42578125" bestFit="1" customWidth="1"/>
    <col min="5" max="5" width="16.85546875" style="105" bestFit="1" customWidth="1"/>
  </cols>
  <sheetData>
    <row r="1" spans="1:5" ht="21" x14ac:dyDescent="0.35">
      <c r="A1" s="100" t="s">
        <v>101</v>
      </c>
      <c r="B1" s="100"/>
      <c r="C1" s="100"/>
      <c r="D1" s="100"/>
    </row>
    <row r="2" spans="1:5" ht="22.5" x14ac:dyDescent="0.25">
      <c r="A2" s="101">
        <v>2111</v>
      </c>
      <c r="B2" s="101">
        <v>1913201</v>
      </c>
      <c r="C2" s="102">
        <v>1</v>
      </c>
      <c r="D2" s="106">
        <v>40697.82</v>
      </c>
      <c r="E2" s="107"/>
    </row>
    <row r="3" spans="1:5" ht="22.5" x14ac:dyDescent="0.25">
      <c r="A3" s="103">
        <v>2111</v>
      </c>
      <c r="B3" s="103">
        <v>1983001</v>
      </c>
      <c r="C3" s="104">
        <v>1</v>
      </c>
      <c r="D3" s="106" t="s">
        <v>75</v>
      </c>
      <c r="E3" s="106">
        <v>6356.44</v>
      </c>
    </row>
    <row r="4" spans="1:5" ht="22.5" x14ac:dyDescent="0.25">
      <c r="A4" s="101">
        <v>2141</v>
      </c>
      <c r="B4" s="101">
        <v>1913201</v>
      </c>
      <c r="C4" s="102">
        <v>1</v>
      </c>
      <c r="D4" s="106">
        <v>17020.68</v>
      </c>
      <c r="E4" s="107"/>
    </row>
    <row r="5" spans="1:5" ht="22.5" x14ac:dyDescent="0.25">
      <c r="A5" s="103">
        <v>2141</v>
      </c>
      <c r="B5" s="103">
        <v>1983001</v>
      </c>
      <c r="C5" s="104">
        <v>1</v>
      </c>
      <c r="D5" s="106" t="s">
        <v>75</v>
      </c>
      <c r="E5" s="106">
        <v>9048</v>
      </c>
    </row>
    <row r="6" spans="1:5" ht="22.5" x14ac:dyDescent="0.25">
      <c r="A6" s="101">
        <v>2161</v>
      </c>
      <c r="B6" s="101">
        <v>1913201</v>
      </c>
      <c r="C6" s="102">
        <v>1</v>
      </c>
      <c r="D6" s="106">
        <v>59279.62</v>
      </c>
      <c r="E6" s="107"/>
    </row>
    <row r="7" spans="1:5" ht="22.5" x14ac:dyDescent="0.25">
      <c r="A7" s="103">
        <v>2161</v>
      </c>
      <c r="B7" s="103">
        <v>1913202</v>
      </c>
      <c r="C7" s="104">
        <v>1</v>
      </c>
      <c r="D7" s="106">
        <v>2106.34</v>
      </c>
      <c r="E7" s="107"/>
    </row>
    <row r="8" spans="1:5" ht="22.5" x14ac:dyDescent="0.25">
      <c r="A8" s="101">
        <v>2161</v>
      </c>
      <c r="B8" s="101">
        <v>1983001</v>
      </c>
      <c r="C8" s="102">
        <v>1</v>
      </c>
      <c r="D8" s="106" t="s">
        <v>75</v>
      </c>
      <c r="E8" s="106">
        <v>27359.88</v>
      </c>
    </row>
    <row r="9" spans="1:5" ht="22.5" x14ac:dyDescent="0.25">
      <c r="A9" s="103">
        <v>2213</v>
      </c>
      <c r="B9" s="103">
        <v>1912001</v>
      </c>
      <c r="C9" s="104">
        <v>1</v>
      </c>
      <c r="D9" s="106">
        <v>0</v>
      </c>
      <c r="E9" s="107"/>
    </row>
    <row r="10" spans="1:5" ht="22.5" x14ac:dyDescent="0.25">
      <c r="A10" s="101">
        <v>2213</v>
      </c>
      <c r="B10" s="101">
        <v>1913201</v>
      </c>
      <c r="C10" s="102">
        <v>1</v>
      </c>
      <c r="D10" s="106">
        <v>25238.95</v>
      </c>
      <c r="E10" s="107"/>
    </row>
    <row r="11" spans="1:5" ht="22.5" x14ac:dyDescent="0.25">
      <c r="A11" s="103">
        <v>2461</v>
      </c>
      <c r="B11" s="103">
        <v>1913201</v>
      </c>
      <c r="C11" s="104">
        <v>1</v>
      </c>
      <c r="D11" s="106">
        <v>9651.81</v>
      </c>
      <c r="E11" s="107"/>
    </row>
    <row r="12" spans="1:5" ht="22.5" x14ac:dyDescent="0.25">
      <c r="A12" s="101">
        <v>2461</v>
      </c>
      <c r="B12" s="101">
        <v>1983001</v>
      </c>
      <c r="C12" s="102">
        <v>1</v>
      </c>
      <c r="D12" s="106" t="s">
        <v>75</v>
      </c>
      <c r="E12" s="106">
        <v>1078.03</v>
      </c>
    </row>
    <row r="13" spans="1:5" ht="22.5" x14ac:dyDescent="0.25">
      <c r="A13" s="103">
        <v>2471</v>
      </c>
      <c r="B13" s="103">
        <v>1913201</v>
      </c>
      <c r="C13" s="104">
        <v>1</v>
      </c>
      <c r="D13" s="106">
        <v>2569.46</v>
      </c>
      <c r="E13" s="107"/>
    </row>
    <row r="14" spans="1:5" ht="22.5" x14ac:dyDescent="0.25">
      <c r="A14" s="101">
        <v>2491</v>
      </c>
      <c r="B14" s="101">
        <v>1913201</v>
      </c>
      <c r="C14" s="102">
        <v>1</v>
      </c>
      <c r="D14" s="106">
        <v>2810.44</v>
      </c>
      <c r="E14" s="107"/>
    </row>
    <row r="15" spans="1:5" ht="22.5" x14ac:dyDescent="0.25">
      <c r="A15" s="103">
        <v>2491</v>
      </c>
      <c r="B15" s="103">
        <v>1983001</v>
      </c>
      <c r="C15" s="104">
        <v>1</v>
      </c>
      <c r="D15" s="106" t="s">
        <v>75</v>
      </c>
      <c r="E15" s="106">
        <v>187.25</v>
      </c>
    </row>
    <row r="16" spans="1:5" ht="22.5" x14ac:dyDescent="0.25">
      <c r="A16" s="101">
        <v>2511</v>
      </c>
      <c r="B16" s="101">
        <v>1913201</v>
      </c>
      <c r="C16" s="102">
        <v>1</v>
      </c>
      <c r="D16" s="106">
        <v>915.98</v>
      </c>
      <c r="E16" s="107"/>
    </row>
    <row r="17" spans="1:5" ht="22.5" x14ac:dyDescent="0.25">
      <c r="A17" s="103">
        <v>2531</v>
      </c>
      <c r="B17" s="103">
        <v>1913201</v>
      </c>
      <c r="C17" s="104">
        <v>1</v>
      </c>
      <c r="D17" s="106">
        <v>346403.92</v>
      </c>
      <c r="E17" s="107"/>
    </row>
    <row r="18" spans="1:5" ht="22.5" x14ac:dyDescent="0.25">
      <c r="A18" s="101">
        <v>2531</v>
      </c>
      <c r="B18" s="101">
        <v>1913202</v>
      </c>
      <c r="C18" s="102">
        <v>1</v>
      </c>
      <c r="D18" s="106">
        <v>307740</v>
      </c>
      <c r="E18" s="107"/>
    </row>
    <row r="19" spans="1:5" ht="22.5" x14ac:dyDescent="0.25">
      <c r="A19" s="103">
        <v>2531</v>
      </c>
      <c r="B19" s="103">
        <v>1983001</v>
      </c>
      <c r="C19" s="104">
        <v>1</v>
      </c>
      <c r="D19" s="106" t="s">
        <v>75</v>
      </c>
      <c r="E19" s="106">
        <v>35360.5</v>
      </c>
    </row>
    <row r="20" spans="1:5" ht="22.5" x14ac:dyDescent="0.25">
      <c r="A20" s="101">
        <v>2541</v>
      </c>
      <c r="B20" s="101">
        <v>1913201</v>
      </c>
      <c r="C20" s="102">
        <v>1</v>
      </c>
      <c r="D20" s="106">
        <v>86189.16</v>
      </c>
      <c r="E20" s="107"/>
    </row>
    <row r="21" spans="1:5" ht="22.5" x14ac:dyDescent="0.25">
      <c r="A21" s="103">
        <v>2541</v>
      </c>
      <c r="B21" s="103">
        <v>1913202</v>
      </c>
      <c r="C21" s="104">
        <v>1</v>
      </c>
      <c r="D21" s="106">
        <v>6960</v>
      </c>
      <c r="E21" s="107"/>
    </row>
    <row r="22" spans="1:5" ht="22.5" x14ac:dyDescent="0.25">
      <c r="A22" s="101">
        <v>2541</v>
      </c>
      <c r="B22" s="101">
        <v>1983001</v>
      </c>
      <c r="C22" s="102">
        <v>1</v>
      </c>
      <c r="D22" s="106" t="s">
        <v>75</v>
      </c>
      <c r="E22" s="106">
        <v>18055.52</v>
      </c>
    </row>
    <row r="23" spans="1:5" ht="22.5" x14ac:dyDescent="0.25">
      <c r="A23" s="103">
        <v>2612</v>
      </c>
      <c r="B23" s="103">
        <v>1912001</v>
      </c>
      <c r="C23" s="104">
        <v>1</v>
      </c>
      <c r="D23" s="106">
        <v>7182.72</v>
      </c>
      <c r="E23" s="107"/>
    </row>
    <row r="24" spans="1:5" ht="22.5" x14ac:dyDescent="0.25">
      <c r="A24" s="101">
        <v>2612</v>
      </c>
      <c r="B24" s="101">
        <v>1913201</v>
      </c>
      <c r="C24" s="102">
        <v>1</v>
      </c>
      <c r="D24" s="106">
        <v>498288.68</v>
      </c>
      <c r="E24" s="107"/>
    </row>
    <row r="25" spans="1:5" ht="22.5" x14ac:dyDescent="0.25">
      <c r="A25" s="103">
        <v>2612</v>
      </c>
      <c r="B25" s="103">
        <v>1913202</v>
      </c>
      <c r="C25" s="104">
        <v>1</v>
      </c>
      <c r="D25" s="106">
        <v>126870</v>
      </c>
      <c r="E25" s="107"/>
    </row>
    <row r="26" spans="1:5" ht="22.5" x14ac:dyDescent="0.25">
      <c r="A26" s="101">
        <v>2612</v>
      </c>
      <c r="B26" s="101">
        <v>1983001</v>
      </c>
      <c r="C26" s="102">
        <v>1</v>
      </c>
      <c r="D26" s="106" t="s">
        <v>75</v>
      </c>
      <c r="E26" s="106">
        <v>120000</v>
      </c>
    </row>
    <row r="27" spans="1:5" ht="22.5" x14ac:dyDescent="0.25">
      <c r="A27" s="103">
        <v>2614</v>
      </c>
      <c r="B27" s="103">
        <v>1981001</v>
      </c>
      <c r="C27" s="104">
        <v>1</v>
      </c>
      <c r="D27" s="106">
        <v>0</v>
      </c>
      <c r="E27" s="107"/>
    </row>
    <row r="28" spans="1:5" ht="22.5" x14ac:dyDescent="0.25">
      <c r="A28" s="101">
        <v>2711</v>
      </c>
      <c r="B28" s="101">
        <v>1913201</v>
      </c>
      <c r="C28" s="102">
        <v>1</v>
      </c>
      <c r="D28" s="106">
        <v>0</v>
      </c>
      <c r="E28" s="107"/>
    </row>
    <row r="29" spans="1:5" ht="22.5" x14ac:dyDescent="0.25">
      <c r="A29" s="103">
        <v>2721</v>
      </c>
      <c r="B29" s="103">
        <v>1913201</v>
      </c>
      <c r="C29" s="104">
        <v>1</v>
      </c>
      <c r="D29" s="106">
        <v>2118.86</v>
      </c>
      <c r="E29" s="107"/>
    </row>
    <row r="30" spans="1:5" ht="22.5" x14ac:dyDescent="0.25">
      <c r="A30" s="101">
        <v>2911</v>
      </c>
      <c r="B30" s="101">
        <v>1913201</v>
      </c>
      <c r="C30" s="102">
        <v>1</v>
      </c>
      <c r="D30" s="106">
        <v>1594.42</v>
      </c>
      <c r="E30" s="107"/>
    </row>
    <row r="31" spans="1:5" ht="22.5" x14ac:dyDescent="0.25">
      <c r="A31" s="103">
        <v>2911</v>
      </c>
      <c r="B31" s="103">
        <v>1983001</v>
      </c>
      <c r="C31" s="104">
        <v>1</v>
      </c>
      <c r="D31" s="106" t="s">
        <v>75</v>
      </c>
      <c r="E31" s="106">
        <v>197.2</v>
      </c>
    </row>
    <row r="32" spans="1:5" ht="22.5" x14ac:dyDescent="0.25">
      <c r="A32" s="101">
        <v>2921</v>
      </c>
      <c r="B32" s="101">
        <v>1913201</v>
      </c>
      <c r="C32" s="102">
        <v>1</v>
      </c>
      <c r="D32" s="106">
        <v>948.21</v>
      </c>
      <c r="E32" s="107"/>
    </row>
    <row r="33" spans="1:5" ht="22.5" x14ac:dyDescent="0.25">
      <c r="A33" s="103">
        <v>2921</v>
      </c>
      <c r="B33" s="103">
        <v>1983001</v>
      </c>
      <c r="C33" s="104">
        <v>1</v>
      </c>
      <c r="D33" s="106" t="s">
        <v>75</v>
      </c>
      <c r="E33" s="106">
        <v>609</v>
      </c>
    </row>
    <row r="34" spans="1:5" ht="22.5" x14ac:dyDescent="0.25">
      <c r="A34" s="101">
        <v>2941</v>
      </c>
      <c r="B34" s="101">
        <v>1913201</v>
      </c>
      <c r="C34" s="102">
        <v>1</v>
      </c>
      <c r="D34" s="106">
        <v>1131</v>
      </c>
      <c r="E34" s="107"/>
    </row>
    <row r="35" spans="1:5" ht="22.5" x14ac:dyDescent="0.25">
      <c r="A35" s="103">
        <v>2941</v>
      </c>
      <c r="B35" s="103">
        <v>1983001</v>
      </c>
      <c r="C35" s="104">
        <v>1</v>
      </c>
      <c r="D35" s="106" t="s">
        <v>75</v>
      </c>
      <c r="E35" s="106">
        <v>1711</v>
      </c>
    </row>
    <row r="36" spans="1:5" ht="22.5" x14ac:dyDescent="0.25">
      <c r="A36" s="101">
        <v>2961</v>
      </c>
      <c r="B36" s="101">
        <v>1912001</v>
      </c>
      <c r="C36" s="102">
        <v>1</v>
      </c>
      <c r="D36" s="106">
        <v>37007.25</v>
      </c>
      <c r="E36" s="107"/>
    </row>
    <row r="37" spans="1:5" ht="22.5" x14ac:dyDescent="0.25">
      <c r="A37" s="103">
        <v>2961</v>
      </c>
      <c r="B37" s="103">
        <v>1913201</v>
      </c>
      <c r="C37" s="104">
        <v>1</v>
      </c>
      <c r="D37" s="106">
        <v>104473.34</v>
      </c>
      <c r="E37" s="108"/>
    </row>
    <row r="38" spans="1:5" ht="21" x14ac:dyDescent="0.35">
      <c r="A38" s="100"/>
      <c r="B38" s="100"/>
      <c r="C38" s="100"/>
      <c r="D38" s="109">
        <f>SUM(D1:D37)</f>
        <v>1687198.6600000001</v>
      </c>
      <c r="E38" s="109">
        <f>SUM(E1:E37)</f>
        <v>219962.82</v>
      </c>
    </row>
    <row r="39" spans="1:5" x14ac:dyDescent="0.25">
      <c r="D39" s="108"/>
      <c r="E39" s="10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2022 INCIAL</vt:lpstr>
      <vt:lpstr>2022 Mod 30 sep </vt:lpstr>
      <vt:lpstr>Hoja1</vt:lpstr>
      <vt:lpstr>'2022 INCIAL'!Títulos_a_imprimir</vt:lpstr>
      <vt:lpstr>'2022 Mod 30 sep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SEDIF19</dc:creator>
  <cp:lastModifiedBy>L.C. Octavio A.</cp:lastModifiedBy>
  <cp:lastPrinted>2023-10-12T15:33:19Z</cp:lastPrinted>
  <dcterms:created xsi:type="dcterms:W3CDTF">2020-08-17T20:57:24Z</dcterms:created>
  <dcterms:modified xsi:type="dcterms:W3CDTF">2023-10-12T15:48:51Z</dcterms:modified>
</cp:coreProperties>
</file>